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esco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<sst xmlns="http://schemas.openxmlformats.org/spreadsheetml/2006/main" count="80" uniqueCount="67">
  <si>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 CUADRO No. 19-25    BANESCO INTERNACIONAL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</si>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</sst>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79" fontId="4" fillId="0" borderId="1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421875" style="1" customWidth="1"/>
    <col min="2" max="2" width="35.8515625" style="1" customWidth="1"/>
    <col min="3" max="3" width="11.421875" style="1" customWidth="1"/>
    <col min="4" max="4" width="9.28125" style="1" customWidth="1"/>
    <col min="5" max="5" width="9.140625" style="1" customWidth="1"/>
    <col min="6" max="6" width="9.00390625" style="1" customWidth="1"/>
    <col min="7" max="16384" width="11.421875" style="1" customWidth="1"/>
  </cols>
  <sheetData>
    <row r="1" spans="2:8" ht="11.25">
      <c r="B1" s="18"/>
      <c r="C1" s="18"/>
      <c r="D1" s="18"/>
      <c r="E1" s="18"/>
      <c r="F1" s="18"/>
      <c r="G1" s="18"/>
      <c r="H1" s="18"/>
    </row>
    <row r="2" spans="2:8" ht="11.25">
      <c r="B2" s="18"/>
      <c r="C2" s="18"/>
      <c r="D2" s="18"/>
      <c r="E2" s="18"/>
      <c r="F2" s="18" t="s">
        <v>0</v>
      </c>
      <c r="G2" s="18"/>
      <c r="H2" s="18"/>
    </row>
    <row r="3" spans="2:8" ht="11.25">
      <c r="B3" s="19"/>
      <c r="C3" s="19"/>
      <c r="D3" s="19"/>
      <c r="E3" s="19"/>
      <c r="F3" s="18" t="s">
        <v>1</v>
      </c>
      <c r="G3" s="19"/>
      <c r="H3" s="19"/>
    </row>
    <row r="4" spans="1:8" ht="11.25">
      <c r="A4" s="19"/>
      <c r="B4" s="19"/>
      <c r="C4" s="19"/>
      <c r="D4" s="19"/>
      <c r="E4" s="19"/>
      <c r="F4" s="19" t="s">
        <v>2</v>
      </c>
      <c r="G4" s="19"/>
      <c r="H4" s="19"/>
    </row>
    <row r="5" spans="1:8" ht="11.25">
      <c r="A5" s="19"/>
      <c r="B5" s="19"/>
      <c r="C5" s="19"/>
      <c r="D5" s="19"/>
      <c r="E5" s="19"/>
      <c r="F5" s="19"/>
      <c r="G5" s="19"/>
      <c r="H5" s="19"/>
    </row>
    <row r="6" spans="1:8" ht="11.25">
      <c r="A6" s="19"/>
      <c r="B6" s="19"/>
      <c r="C6" s="19"/>
      <c r="D6" s="19"/>
      <c r="E6" s="19"/>
      <c r="F6" s="19"/>
      <c r="G6" s="19"/>
      <c r="H6" s="19"/>
    </row>
    <row r="7" spans="1:8" ht="11.25">
      <c r="A7" s="3"/>
      <c r="B7" s="3"/>
      <c r="C7" s="3"/>
      <c r="D7" s="3"/>
      <c r="E7" s="3"/>
      <c r="F7" s="3"/>
      <c r="G7" s="3"/>
      <c r="H7" s="3"/>
    </row>
    <row r="8" spans="1:8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1.25">
      <c r="A9" s="5" t="s">
        <v>9</v>
      </c>
      <c r="B9" s="5"/>
      <c r="C9" s="6"/>
      <c r="D9" s="6"/>
      <c r="E9" s="6"/>
      <c r="F9" s="6"/>
      <c r="G9" s="6"/>
      <c r="H9" s="6"/>
    </row>
    <row r="10" spans="1:8" ht="11.25">
      <c r="A10" s="7" t="s">
        <v>10</v>
      </c>
      <c r="B10" s="7"/>
      <c r="C10" s="8">
        <v>98432</v>
      </c>
      <c r="D10" s="8">
        <v>53412</v>
      </c>
      <c r="E10" s="8">
        <v>56679</v>
      </c>
      <c r="F10" s="8">
        <v>56058</v>
      </c>
      <c r="G10" s="8">
        <v>45869</v>
      </c>
      <c r="H10" s="8">
        <v>29478</v>
      </c>
    </row>
    <row r="11" spans="1:8" ht="11.25">
      <c r="A11" s="7" t="s">
        <v>11</v>
      </c>
      <c r="B11" s="7"/>
      <c r="C11" s="8">
        <v>28072</v>
      </c>
      <c r="D11" s="8">
        <v>20551</v>
      </c>
      <c r="E11" s="8">
        <v>23808</v>
      </c>
      <c r="F11" s="8">
        <v>10271</v>
      </c>
      <c r="G11" s="8">
        <v>3868</v>
      </c>
      <c r="H11" s="8">
        <v>3807</v>
      </c>
    </row>
    <row r="12" spans="1:8" ht="11.25">
      <c r="A12" s="7" t="s">
        <v>12</v>
      </c>
      <c r="B12" s="7"/>
      <c r="C12" s="8">
        <f aca="true" t="shared" si="0" ref="C12:H12">C13+C14</f>
        <v>65349</v>
      </c>
      <c r="D12" s="8">
        <f t="shared" si="0"/>
        <v>28398</v>
      </c>
      <c r="E12" s="8">
        <f t="shared" si="0"/>
        <v>28729</v>
      </c>
      <c r="F12" s="8">
        <f t="shared" si="0"/>
        <v>28678</v>
      </c>
      <c r="G12" s="8">
        <f t="shared" si="0"/>
        <v>28821</v>
      </c>
      <c r="H12" s="8">
        <f t="shared" si="0"/>
        <v>18157</v>
      </c>
    </row>
    <row r="13" spans="1:8" ht="11.25">
      <c r="A13" s="7"/>
      <c r="B13" s="7" t="s">
        <v>13</v>
      </c>
      <c r="C13" s="8"/>
      <c r="D13" s="8"/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/>
      <c r="B14" s="7" t="s">
        <v>14</v>
      </c>
      <c r="C14" s="8">
        <v>65349</v>
      </c>
      <c r="D14" s="8">
        <v>28398</v>
      </c>
      <c r="E14" s="8">
        <v>28729</v>
      </c>
      <c r="F14" s="8">
        <v>28678</v>
      </c>
      <c r="G14" s="8">
        <v>28821</v>
      </c>
      <c r="H14" s="8">
        <v>18157</v>
      </c>
    </row>
    <row r="15" spans="1:8" ht="11.25">
      <c r="A15" s="7" t="s">
        <v>15</v>
      </c>
      <c r="B15" s="7"/>
      <c r="C15" s="8">
        <v>2582</v>
      </c>
      <c r="D15" s="8">
        <v>2581</v>
      </c>
      <c r="E15" s="8">
        <v>2579</v>
      </c>
      <c r="F15" s="8">
        <v>15612</v>
      </c>
      <c r="G15" s="8">
        <v>12380</v>
      </c>
      <c r="H15" s="8">
        <v>6898</v>
      </c>
    </row>
    <row r="16" spans="1:8" ht="11.25">
      <c r="A16" s="7" t="s">
        <v>16</v>
      </c>
      <c r="B16" s="7"/>
      <c r="C16" s="8">
        <f aca="true" t="shared" si="1" ref="C16:H16">C17+C21</f>
        <v>87068</v>
      </c>
      <c r="D16" s="8">
        <f t="shared" si="1"/>
        <v>45199</v>
      </c>
      <c r="E16" s="8">
        <f t="shared" si="1"/>
        <v>47555</v>
      </c>
      <c r="F16" s="8">
        <f t="shared" si="1"/>
        <v>43959</v>
      </c>
      <c r="G16" s="8">
        <f t="shared" si="1"/>
        <v>34488</v>
      </c>
      <c r="H16" s="8">
        <f t="shared" si="1"/>
        <v>23543</v>
      </c>
    </row>
    <row r="17" spans="1:8" ht="11.25">
      <c r="A17" s="7"/>
      <c r="B17" s="7" t="s">
        <v>13</v>
      </c>
      <c r="C17" s="8">
        <f aca="true" t="shared" si="2" ref="C17:H17">SUM(C18:C20)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</row>
    <row r="18" spans="1:8" ht="11.25">
      <c r="A18" s="7"/>
      <c r="B18" s="7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1.25">
      <c r="A21" s="7"/>
      <c r="B21" s="7" t="s">
        <v>14</v>
      </c>
      <c r="C21" s="8">
        <f aca="true" t="shared" si="3" ref="C21:H21">SUM(C22:C23)</f>
        <v>87068</v>
      </c>
      <c r="D21" s="8">
        <f t="shared" si="3"/>
        <v>45199</v>
      </c>
      <c r="E21" s="8">
        <f t="shared" si="3"/>
        <v>47555</v>
      </c>
      <c r="F21" s="8">
        <f t="shared" si="3"/>
        <v>43959</v>
      </c>
      <c r="G21" s="8">
        <f t="shared" si="3"/>
        <v>34488</v>
      </c>
      <c r="H21" s="8">
        <f t="shared" si="3"/>
        <v>23543</v>
      </c>
    </row>
    <row r="22" spans="1:8" ht="11.25">
      <c r="A22" s="7"/>
      <c r="B22" s="7" t="s">
        <v>18</v>
      </c>
      <c r="C22" s="8">
        <f>1421+57718</f>
        <v>59139</v>
      </c>
      <c r="D22" s="8">
        <v>42230</v>
      </c>
      <c r="E22" s="8">
        <v>42509</v>
      </c>
      <c r="F22" s="8">
        <v>38587</v>
      </c>
      <c r="G22" s="8">
        <v>31748</v>
      </c>
      <c r="H22" s="8">
        <v>21123</v>
      </c>
    </row>
    <row r="23" spans="1:8" ht="11.25">
      <c r="A23" s="7"/>
      <c r="B23" s="7" t="s">
        <v>19</v>
      </c>
      <c r="C23" s="8">
        <f>70+15143+12716</f>
        <v>27929</v>
      </c>
      <c r="D23" s="8">
        <v>2969</v>
      </c>
      <c r="E23" s="8">
        <v>5046</v>
      </c>
      <c r="F23" s="8">
        <v>5372</v>
      </c>
      <c r="G23" s="8">
        <v>2740</v>
      </c>
      <c r="H23" s="8">
        <v>2420</v>
      </c>
    </row>
    <row r="24" spans="1:8" ht="11.25">
      <c r="A24" s="3" t="s">
        <v>20</v>
      </c>
      <c r="B24" s="3"/>
      <c r="C24" s="9">
        <v>7875</v>
      </c>
      <c r="D24" s="9">
        <v>7611</v>
      </c>
      <c r="E24" s="9">
        <v>7325</v>
      </c>
      <c r="F24" s="9">
        <v>6582</v>
      </c>
      <c r="G24" s="9">
        <v>5890</v>
      </c>
      <c r="H24" s="10">
        <v>5614</v>
      </c>
    </row>
    <row r="25" spans="1:8" ht="11.25">
      <c r="A25" s="5" t="s">
        <v>21</v>
      </c>
      <c r="B25" s="7"/>
      <c r="C25" s="8"/>
      <c r="D25" s="8"/>
      <c r="E25" s="8"/>
      <c r="F25" s="8"/>
      <c r="G25" s="8"/>
      <c r="H25" s="11"/>
    </row>
    <row r="26" spans="1:8" ht="11.25">
      <c r="A26" s="7" t="s">
        <v>10</v>
      </c>
      <c r="B26" s="7"/>
      <c r="C26" s="8">
        <f>+(C10+G10)/2</f>
        <v>72150.5</v>
      </c>
      <c r="D26" s="8">
        <f>+(43375+D10)/2</f>
        <v>48393.5</v>
      </c>
      <c r="E26" s="8">
        <f>+(35055+E10)/2</f>
        <v>45867</v>
      </c>
      <c r="F26" s="8">
        <f>+(33738+F10)/2</f>
        <v>44898</v>
      </c>
      <c r="G26" s="8">
        <f>+(G10+H10)/2</f>
        <v>37673.5</v>
      </c>
      <c r="H26" s="8">
        <f>+(27584+H10)/2</f>
        <v>28531</v>
      </c>
    </row>
    <row r="27" spans="1:8" ht="11.25">
      <c r="A27" s="7" t="s">
        <v>22</v>
      </c>
      <c r="B27" s="7"/>
      <c r="C27" s="8">
        <f aca="true" t="shared" si="4" ref="C27:H27">C28+C29</f>
        <v>54566</v>
      </c>
      <c r="D27" s="8">
        <f t="shared" si="4"/>
        <v>32961</v>
      </c>
      <c r="E27" s="8">
        <f t="shared" si="4"/>
        <v>30751</v>
      </c>
      <c r="F27" s="8">
        <f t="shared" si="4"/>
        <v>36013.5</v>
      </c>
      <c r="G27" s="8">
        <f t="shared" si="4"/>
        <v>33128</v>
      </c>
      <c r="H27" s="8">
        <f t="shared" si="4"/>
        <v>24988</v>
      </c>
    </row>
    <row r="28" spans="1:8" ht="11.25">
      <c r="A28" s="7"/>
      <c r="B28" s="7" t="s">
        <v>12</v>
      </c>
      <c r="C28" s="8">
        <f>+(C12+G12)/2</f>
        <v>47085</v>
      </c>
      <c r="D28" s="8">
        <f>+(27325+D12)/2</f>
        <v>27861.5</v>
      </c>
      <c r="E28" s="8">
        <f>+(26103+E12)/2</f>
        <v>27416</v>
      </c>
      <c r="F28" s="8">
        <f>+(17848+F12)/2</f>
        <v>23263</v>
      </c>
      <c r="G28" s="8">
        <f>+(G12+H12)/2</f>
        <v>23489</v>
      </c>
      <c r="H28" s="8">
        <f>+(15981+H12)/2</f>
        <v>17069</v>
      </c>
    </row>
    <row r="29" spans="1:8" ht="11.25">
      <c r="A29" s="7"/>
      <c r="B29" s="7" t="s">
        <v>15</v>
      </c>
      <c r="C29" s="8">
        <f>+(C15+G15)/2</f>
        <v>7481</v>
      </c>
      <c r="D29" s="8">
        <f>+(7618+D15)/2</f>
        <v>5099.5</v>
      </c>
      <c r="E29" s="8">
        <f>+(4091+E15)/2</f>
        <v>3335</v>
      </c>
      <c r="F29" s="8">
        <f>+(9889+F15)/2</f>
        <v>12750.5</v>
      </c>
      <c r="G29" s="8">
        <f>+(G15+H15)/2</f>
        <v>9639</v>
      </c>
      <c r="H29" s="8">
        <f>+(8940+H15)/2</f>
        <v>7919</v>
      </c>
    </row>
    <row r="30" spans="1:8" ht="11.25">
      <c r="A30" s="3" t="s">
        <v>20</v>
      </c>
      <c r="B30" s="3"/>
      <c r="C30" s="9">
        <f>+(C24+G24)/2</f>
        <v>6882.5</v>
      </c>
      <c r="D30" s="9">
        <f>+(5403+D24)/2</f>
        <v>6507</v>
      </c>
      <c r="E30" s="9">
        <f>+(4907+E24)/2</f>
        <v>6116</v>
      </c>
      <c r="F30" s="9">
        <f>+(5768+F24)/2</f>
        <v>6175</v>
      </c>
      <c r="G30" s="9">
        <f>+(G24+H24)/2</f>
        <v>5752</v>
      </c>
      <c r="H30" s="9">
        <f>+(9678+H24)/2</f>
        <v>7646</v>
      </c>
    </row>
    <row r="31" spans="1:8" ht="11.25">
      <c r="A31" s="5" t="s">
        <v>23</v>
      </c>
      <c r="B31" s="7"/>
      <c r="C31" s="7"/>
      <c r="D31" s="7"/>
      <c r="E31" s="7"/>
      <c r="F31" s="7"/>
      <c r="G31" s="7"/>
      <c r="H31" s="7"/>
    </row>
    <row r="32" spans="1:8" ht="11.25">
      <c r="A32" s="7" t="s">
        <v>24</v>
      </c>
      <c r="B32" s="7"/>
      <c r="C32" s="8">
        <v>6478</v>
      </c>
      <c r="D32" s="8">
        <v>4084</v>
      </c>
      <c r="E32" s="8">
        <v>2767</v>
      </c>
      <c r="F32" s="8">
        <v>1256</v>
      </c>
      <c r="G32" s="8">
        <v>4000</v>
      </c>
      <c r="H32" s="8">
        <v>4389</v>
      </c>
    </row>
    <row r="33" spans="1:8" ht="11.25">
      <c r="A33" s="7" t="s">
        <v>25</v>
      </c>
      <c r="B33" s="7"/>
      <c r="C33" s="8">
        <v>4198</v>
      </c>
      <c r="D33" s="8">
        <v>2534</v>
      </c>
      <c r="E33" s="8">
        <v>1510</v>
      </c>
      <c r="F33" s="8">
        <v>717</v>
      </c>
      <c r="G33" s="8">
        <v>1967</v>
      </c>
      <c r="H33" s="8">
        <v>1137</v>
      </c>
    </row>
    <row r="34" spans="1:8" ht="11.25">
      <c r="A34" s="7" t="s">
        <v>26</v>
      </c>
      <c r="B34" s="7"/>
      <c r="C34" s="8">
        <f aca="true" t="shared" si="5" ref="C34:H34">C32-C33</f>
        <v>2280</v>
      </c>
      <c r="D34" s="8">
        <f t="shared" si="5"/>
        <v>1550</v>
      </c>
      <c r="E34" s="8">
        <f t="shared" si="5"/>
        <v>1257</v>
      </c>
      <c r="F34" s="8">
        <f t="shared" si="5"/>
        <v>539</v>
      </c>
      <c r="G34" s="8">
        <f t="shared" si="5"/>
        <v>2033</v>
      </c>
      <c r="H34" s="8">
        <f t="shared" si="5"/>
        <v>3252</v>
      </c>
    </row>
    <row r="35" spans="1:8" ht="11.25">
      <c r="A35" s="7" t="s">
        <v>27</v>
      </c>
      <c r="B35" s="7"/>
      <c r="C35" s="8">
        <v>2293</v>
      </c>
      <c r="D35" s="8">
        <v>1919</v>
      </c>
      <c r="E35" s="8">
        <v>1727</v>
      </c>
      <c r="F35" s="8">
        <v>432</v>
      </c>
      <c r="G35" s="8">
        <v>1352</v>
      </c>
      <c r="H35" s="8">
        <v>594</v>
      </c>
    </row>
    <row r="36" spans="1:8" ht="11.25">
      <c r="A36" s="7" t="s">
        <v>28</v>
      </c>
      <c r="B36" s="7"/>
      <c r="C36" s="8">
        <f aca="true" t="shared" si="6" ref="C36:H36">C34+C35</f>
        <v>4573</v>
      </c>
      <c r="D36" s="8">
        <f t="shared" si="6"/>
        <v>3469</v>
      </c>
      <c r="E36" s="8">
        <f t="shared" si="6"/>
        <v>2984</v>
      </c>
      <c r="F36" s="8">
        <f t="shared" si="6"/>
        <v>971</v>
      </c>
      <c r="G36" s="8">
        <f t="shared" si="6"/>
        <v>3385</v>
      </c>
      <c r="H36" s="8">
        <f t="shared" si="6"/>
        <v>3846</v>
      </c>
    </row>
    <row r="37" spans="1:8" ht="11.25">
      <c r="A37" s="7" t="s">
        <v>29</v>
      </c>
      <c r="B37" s="7"/>
      <c r="C37" s="8">
        <v>2702</v>
      </c>
      <c r="D37" s="8">
        <v>1864</v>
      </c>
      <c r="E37" s="8">
        <v>1739</v>
      </c>
      <c r="F37" s="8">
        <v>468</v>
      </c>
      <c r="G37" s="8">
        <v>928</v>
      </c>
      <c r="H37" s="8">
        <v>1013</v>
      </c>
    </row>
    <row r="38" spans="1:8" ht="11.25">
      <c r="A38" s="7" t="s">
        <v>30</v>
      </c>
      <c r="B38" s="7"/>
      <c r="C38" s="8">
        <f aca="true" t="shared" si="7" ref="C38:H38">C36-C37</f>
        <v>1871</v>
      </c>
      <c r="D38" s="8">
        <f t="shared" si="7"/>
        <v>1605</v>
      </c>
      <c r="E38" s="8">
        <f t="shared" si="7"/>
        <v>1245</v>
      </c>
      <c r="F38" s="8">
        <f t="shared" si="7"/>
        <v>503</v>
      </c>
      <c r="G38" s="8">
        <f t="shared" si="7"/>
        <v>2457</v>
      </c>
      <c r="H38" s="8">
        <f t="shared" si="7"/>
        <v>2833</v>
      </c>
    </row>
    <row r="39" spans="1:8" ht="11.25">
      <c r="A39" s="3" t="s">
        <v>31</v>
      </c>
      <c r="B39" s="3"/>
      <c r="C39" s="9">
        <v>1798</v>
      </c>
      <c r="D39" s="9">
        <v>1532</v>
      </c>
      <c r="E39" s="9">
        <v>1245</v>
      </c>
      <c r="F39" s="9">
        <v>503</v>
      </c>
      <c r="G39" s="9">
        <v>2457</v>
      </c>
      <c r="H39" s="9">
        <v>2820</v>
      </c>
    </row>
    <row r="40" spans="1:8" ht="11.25">
      <c r="A40" s="5" t="s">
        <v>32</v>
      </c>
      <c r="B40" s="7"/>
      <c r="C40" s="7"/>
      <c r="D40" s="7"/>
      <c r="E40" s="7"/>
      <c r="F40" s="7"/>
      <c r="G40" s="7"/>
      <c r="H40" s="7"/>
    </row>
    <row r="41" spans="1:8" ht="11.25">
      <c r="A41" s="7" t="s">
        <v>33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34</v>
      </c>
      <c r="B42" s="7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1.25">
      <c r="A43" s="7" t="s">
        <v>35</v>
      </c>
      <c r="B43" s="7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ht="11.25">
      <c r="A44" s="7" t="s">
        <v>36</v>
      </c>
      <c r="B44" s="7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ht="11.25">
      <c r="A45" s="13" t="s">
        <v>37</v>
      </c>
      <c r="B45" s="7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ht="11.25">
      <c r="A46" s="7" t="s">
        <v>38</v>
      </c>
      <c r="B46" s="7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ht="11.25">
      <c r="A47" s="3" t="s">
        <v>39</v>
      </c>
      <c r="B47" s="3"/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ht="11.25">
      <c r="A48" s="5" t="s">
        <v>40</v>
      </c>
      <c r="B48" s="7"/>
      <c r="C48" s="7"/>
      <c r="D48" s="7"/>
      <c r="E48" s="7"/>
      <c r="F48" s="7"/>
      <c r="G48" s="7"/>
      <c r="H48" s="7"/>
    </row>
    <row r="49" spans="1:8" ht="11.25">
      <c r="A49" s="7" t="s">
        <v>41</v>
      </c>
      <c r="B49" s="7"/>
      <c r="C49" s="12">
        <f aca="true" t="shared" si="8" ref="C49:H49">+C30/C26</f>
        <v>0.0953908843320559</v>
      </c>
      <c r="D49" s="12">
        <f t="shared" si="8"/>
        <v>0.13446020643268208</v>
      </c>
      <c r="E49" s="12">
        <f t="shared" si="8"/>
        <v>0.1333420542001875</v>
      </c>
      <c r="F49" s="12">
        <f t="shared" si="8"/>
        <v>0.13753396587821284</v>
      </c>
      <c r="G49" s="12">
        <f t="shared" si="8"/>
        <v>0.15268026596944803</v>
      </c>
      <c r="H49" s="12">
        <f t="shared" si="8"/>
        <v>0.2679892047246854</v>
      </c>
    </row>
    <row r="50" spans="1:8" ht="11.25">
      <c r="A50" s="3" t="s">
        <v>42</v>
      </c>
      <c r="B50" s="3"/>
      <c r="C50" s="14">
        <f aca="true" t="shared" si="9" ref="C50:H50">+C30/C27</f>
        <v>0.12613165707583476</v>
      </c>
      <c r="D50" s="14">
        <f t="shared" si="9"/>
        <v>0.19741512696823518</v>
      </c>
      <c r="E50" s="14">
        <f t="shared" si="9"/>
        <v>0.19888784104581964</v>
      </c>
      <c r="F50" s="14">
        <f t="shared" si="9"/>
        <v>0.17146347897316283</v>
      </c>
      <c r="G50" s="14">
        <f t="shared" si="9"/>
        <v>0.17362955807775898</v>
      </c>
      <c r="H50" s="14">
        <f t="shared" si="9"/>
        <v>0.3059868736993757</v>
      </c>
    </row>
    <row r="51" spans="1:8" ht="11.25">
      <c r="A51" s="5" t="s">
        <v>43</v>
      </c>
      <c r="B51" s="7"/>
      <c r="C51" s="7"/>
      <c r="D51" s="7"/>
      <c r="E51" s="7"/>
      <c r="F51" s="7"/>
      <c r="G51" s="7"/>
      <c r="H51" s="7"/>
    </row>
    <row r="52" spans="1:8" ht="11.25">
      <c r="A52" s="7" t="s">
        <v>44</v>
      </c>
      <c r="B52" s="7"/>
      <c r="C52" s="12">
        <f aca="true" t="shared" si="10" ref="C52:H52">C11/C16</f>
        <v>0.3224146644002389</v>
      </c>
      <c r="D52" s="12">
        <f t="shared" si="10"/>
        <v>0.4546782008451514</v>
      </c>
      <c r="E52" s="12">
        <f t="shared" si="10"/>
        <v>0.5006413626327411</v>
      </c>
      <c r="F52" s="12">
        <f t="shared" si="10"/>
        <v>0.23364953706863215</v>
      </c>
      <c r="G52" s="12">
        <f t="shared" si="10"/>
        <v>0.11215495244722802</v>
      </c>
      <c r="H52" s="12">
        <f t="shared" si="10"/>
        <v>0.16170411587308328</v>
      </c>
    </row>
    <row r="53" spans="1:8" ht="11.25">
      <c r="A53" s="7" t="s">
        <v>45</v>
      </c>
      <c r="B53" s="7"/>
      <c r="C53" s="12">
        <f aca="true" t="shared" si="11" ref="C53:H53">C11/C10</f>
        <v>0.2851918075422627</v>
      </c>
      <c r="D53" s="12">
        <f t="shared" si="11"/>
        <v>0.38476372350782595</v>
      </c>
      <c r="E53" s="12">
        <f t="shared" si="11"/>
        <v>0.42004975387709736</v>
      </c>
      <c r="F53" s="12">
        <f t="shared" si="11"/>
        <v>0.18322094973063613</v>
      </c>
      <c r="G53" s="12">
        <f t="shared" si="11"/>
        <v>0.08432710545248424</v>
      </c>
      <c r="H53" s="12">
        <f t="shared" si="11"/>
        <v>0.12914716059434153</v>
      </c>
    </row>
    <row r="54" spans="1:8" ht="11.25">
      <c r="A54" s="3" t="s">
        <v>46</v>
      </c>
      <c r="B54" s="3"/>
      <c r="C54" s="14">
        <f aca="true" t="shared" si="12" ref="C54:H54">(C11+C15)/C16</f>
        <v>0.352069646712914</v>
      </c>
      <c r="D54" s="14">
        <f t="shared" si="12"/>
        <v>0.5117812340980995</v>
      </c>
      <c r="E54" s="14">
        <f t="shared" si="12"/>
        <v>0.5548733045946799</v>
      </c>
      <c r="F54" s="14">
        <f t="shared" si="12"/>
        <v>0.5887986532905662</v>
      </c>
      <c r="G54" s="14">
        <f t="shared" si="12"/>
        <v>0.4711203897007655</v>
      </c>
      <c r="H54" s="14">
        <f t="shared" si="12"/>
        <v>0.4546999108015121</v>
      </c>
    </row>
    <row r="55" spans="1:8" ht="11.25">
      <c r="A55" s="5" t="s">
        <v>47</v>
      </c>
      <c r="B55" s="7"/>
      <c r="C55" s="7"/>
      <c r="D55" s="7"/>
      <c r="E55" s="7"/>
      <c r="F55" s="7"/>
      <c r="G55" s="7"/>
      <c r="H55" s="7"/>
    </row>
    <row r="56" spans="1:8" ht="11.25">
      <c r="A56" s="7" t="s">
        <v>48</v>
      </c>
      <c r="B56" s="7"/>
      <c r="C56" s="15">
        <f>C39/C27</f>
        <v>0.03295092181944801</v>
      </c>
      <c r="D56" s="15">
        <f>(D39/0.75)/D27</f>
        <v>0.061972229806943564</v>
      </c>
      <c r="E56" s="15">
        <f>(E39/0.5)/E27</f>
        <v>0.08097297648856948</v>
      </c>
      <c r="F56" s="12">
        <f>((F39)/0.25)/F27</f>
        <v>0.0558679384119844</v>
      </c>
      <c r="G56" s="12">
        <f>G39/G27</f>
        <v>0.07416686790630282</v>
      </c>
      <c r="H56" s="12">
        <f>H39/H27</f>
        <v>0.11285417000160076</v>
      </c>
    </row>
    <row r="57" spans="1:8" ht="11.25">
      <c r="A57" s="7" t="s">
        <v>49</v>
      </c>
      <c r="B57" s="7"/>
      <c r="C57" s="15">
        <f>C39/C26</f>
        <v>0.024920132223615915</v>
      </c>
      <c r="D57" s="15">
        <f>(D39/0.75)/D26</f>
        <v>0.04220952538391864</v>
      </c>
      <c r="E57" s="15">
        <f>(E39/0.5)/E26</f>
        <v>0.054287396167179015</v>
      </c>
      <c r="F57" s="12">
        <f>((F39)/0.25)/F26</f>
        <v>0.044812686533921335</v>
      </c>
      <c r="G57" s="12">
        <f>G39/G26</f>
        <v>0.06521825686490504</v>
      </c>
      <c r="H57" s="12">
        <f>H39/H26</f>
        <v>0.09883985839963548</v>
      </c>
    </row>
    <row r="58" spans="1:8" ht="11.25">
      <c r="A58" s="7" t="s">
        <v>50</v>
      </c>
      <c r="B58" s="7"/>
      <c r="C58" s="15">
        <f>+C39/C30</f>
        <v>0.2612422811478387</v>
      </c>
      <c r="D58" s="15">
        <f>(D39/0.75)/D30</f>
        <v>0.31391834434711335</v>
      </c>
      <c r="E58" s="15">
        <f>(E39/0.5)/E30</f>
        <v>0.40712884238064095</v>
      </c>
      <c r="F58" s="12">
        <f>((F39)/0.25)/F30</f>
        <v>0.32582995951417004</v>
      </c>
      <c r="G58" s="12">
        <f>G39/G30</f>
        <v>0.4271557719054242</v>
      </c>
      <c r="H58" s="12">
        <f>H39/H30</f>
        <v>0.36882029819513473</v>
      </c>
    </row>
    <row r="59" spans="1:8" ht="11.25">
      <c r="A59" s="7" t="s">
        <v>51</v>
      </c>
      <c r="B59" s="7"/>
      <c r="C59" s="15">
        <f>C32/C26</f>
        <v>0.08978454757763286</v>
      </c>
      <c r="D59" s="15">
        <f>(D32/0.75)/D26</f>
        <v>0.112521998477757</v>
      </c>
      <c r="E59" s="15">
        <f>(E32/0.5)/E26</f>
        <v>0.12065319292737699</v>
      </c>
      <c r="F59" s="12">
        <f>((F32)/0.25)/F26</f>
        <v>0.11189808009265446</v>
      </c>
      <c r="G59" s="12">
        <f>G32/G26</f>
        <v>0.10617542835149375</v>
      </c>
      <c r="H59" s="12">
        <f>H32/H26</f>
        <v>0.15383267323262417</v>
      </c>
    </row>
    <row r="60" spans="1:8" ht="11.25">
      <c r="A60" s="7" t="s">
        <v>52</v>
      </c>
      <c r="B60" s="7"/>
      <c r="C60" s="15">
        <f>C33/C26</f>
        <v>0.05818393496926563</v>
      </c>
      <c r="D60" s="15">
        <f>(D33/0.75)/D26</f>
        <v>0.06981653872248683</v>
      </c>
      <c r="E60" s="15">
        <f>(E33/0.5)/E26</f>
        <v>0.06584254474894805</v>
      </c>
      <c r="F60" s="12">
        <f>((F33)/0.25)/F26</f>
        <v>0.06387812374716023</v>
      </c>
      <c r="G60" s="12">
        <f>G33/G26</f>
        <v>0.052211766891847054</v>
      </c>
      <c r="H60" s="12">
        <f>H33/H26</f>
        <v>0.039851389716448776</v>
      </c>
    </row>
    <row r="61" spans="1:8" ht="11.25">
      <c r="A61" s="7" t="s">
        <v>53</v>
      </c>
      <c r="B61" s="7"/>
      <c r="C61" s="15">
        <f>C34/C26</f>
        <v>0.03160061260836723</v>
      </c>
      <c r="D61" s="15">
        <f>(D34/0.75)/D26</f>
        <v>0.04270545975527016</v>
      </c>
      <c r="E61" s="15">
        <f>(E34/0.5)/E26</f>
        <v>0.054810648178428935</v>
      </c>
      <c r="F61" s="12">
        <f>((F34)/0.25)/F26</f>
        <v>0.04801995634549423</v>
      </c>
      <c r="G61" s="12">
        <f>G34/G26</f>
        <v>0.0539636614596467</v>
      </c>
      <c r="H61" s="12">
        <f>H34/H26</f>
        <v>0.11398128351617538</v>
      </c>
    </row>
    <row r="62" spans="1:8" ht="11.25">
      <c r="A62" s="7" t="s">
        <v>54</v>
      </c>
      <c r="B62" s="7"/>
      <c r="C62" s="15">
        <f>C37/C36</f>
        <v>0.5908593920839711</v>
      </c>
      <c r="D62" s="15">
        <f>(D37/0.75)/(D36/0.75)</f>
        <v>0.5373306428365524</v>
      </c>
      <c r="E62" s="15">
        <f>(E37/0.5)/(E36/0.5)</f>
        <v>0.582774798927614</v>
      </c>
      <c r="F62" s="12">
        <f>(F37/0.25)/(F36/0.25)</f>
        <v>0.4819773429454171</v>
      </c>
      <c r="G62" s="12">
        <f>G37/G36</f>
        <v>0.2741506646971935</v>
      </c>
      <c r="H62" s="12">
        <f>H37/H36</f>
        <v>0.26339053562142484</v>
      </c>
    </row>
    <row r="63" spans="1:8" ht="11.25">
      <c r="A63" s="3" t="s">
        <v>55</v>
      </c>
      <c r="B63" s="3"/>
      <c r="C63" s="16">
        <f>C35/C26</f>
        <v>0.03178079153990617</v>
      </c>
      <c r="D63" s="16">
        <f>(D35/0.75)/D26</f>
        <v>0.05287211436797641</v>
      </c>
      <c r="E63" s="16">
        <f>(E35/0.5)/E26</f>
        <v>0.0753046852857174</v>
      </c>
      <c r="F63" s="14">
        <f>(F35/0.25)/F26</f>
        <v>0.03848723773887478</v>
      </c>
      <c r="G63" s="14">
        <f>G35/G26</f>
        <v>0.03588729478280489</v>
      </c>
      <c r="H63" s="14">
        <f>H35/H26</f>
        <v>0.020819459535242366</v>
      </c>
    </row>
    <row r="64" spans="1:8" ht="11.25">
      <c r="A64" s="5" t="s">
        <v>56</v>
      </c>
      <c r="B64" s="7"/>
      <c r="C64" s="7"/>
      <c r="D64" s="7"/>
      <c r="E64" s="7"/>
      <c r="F64" s="7"/>
      <c r="G64" s="7"/>
      <c r="H64" s="7"/>
    </row>
    <row r="65" spans="1:8" ht="11.25">
      <c r="A65" s="7" t="s">
        <v>57</v>
      </c>
      <c r="B65" s="7"/>
      <c r="C65" s="8">
        <v>6</v>
      </c>
      <c r="D65" s="8">
        <v>6</v>
      </c>
      <c r="E65" s="8">
        <v>6</v>
      </c>
      <c r="F65" s="8">
        <v>6</v>
      </c>
      <c r="G65" s="8">
        <v>6</v>
      </c>
      <c r="H65" s="8">
        <v>6</v>
      </c>
    </row>
    <row r="66" spans="1:8" ht="11.25">
      <c r="A66" s="7" t="s">
        <v>58</v>
      </c>
      <c r="B66" s="7"/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</row>
    <row r="67" spans="1:8" ht="11.25">
      <c r="A67" s="7" t="s">
        <v>59</v>
      </c>
      <c r="B67" s="7"/>
      <c r="C67" s="8">
        <f aca="true" t="shared" si="13" ref="C67:H67">C12/C65</f>
        <v>10891.5</v>
      </c>
      <c r="D67" s="8">
        <f t="shared" si="13"/>
        <v>4733</v>
      </c>
      <c r="E67" s="8">
        <f t="shared" si="13"/>
        <v>4788.166666666667</v>
      </c>
      <c r="F67" s="8">
        <f t="shared" si="13"/>
        <v>4779.666666666667</v>
      </c>
      <c r="G67" s="8">
        <f t="shared" si="13"/>
        <v>4803.5</v>
      </c>
      <c r="H67" s="8">
        <f t="shared" si="13"/>
        <v>3026.1666666666665</v>
      </c>
    </row>
    <row r="68" spans="1:8" ht="11.25">
      <c r="A68" s="7" t="s">
        <v>60</v>
      </c>
      <c r="B68" s="7"/>
      <c r="C68" s="8">
        <f aca="true" t="shared" si="14" ref="C68:H68">+C16/C65</f>
        <v>14511.333333333334</v>
      </c>
      <c r="D68" s="8">
        <f t="shared" si="14"/>
        <v>7533.166666666667</v>
      </c>
      <c r="E68" s="8">
        <f t="shared" si="14"/>
        <v>7925.833333333333</v>
      </c>
      <c r="F68" s="8">
        <f t="shared" si="14"/>
        <v>7326.5</v>
      </c>
      <c r="G68" s="8">
        <f t="shared" si="14"/>
        <v>5748</v>
      </c>
      <c r="H68" s="8">
        <f t="shared" si="14"/>
        <v>3923.8333333333335</v>
      </c>
    </row>
    <row r="69" spans="1:8" ht="11.25">
      <c r="A69" s="3" t="s">
        <v>61</v>
      </c>
      <c r="B69" s="3"/>
      <c r="C69" s="9">
        <f aca="true" t="shared" si="15" ref="C69:H69">+C39/C65</f>
        <v>299.6666666666667</v>
      </c>
      <c r="D69" s="9">
        <f t="shared" si="15"/>
        <v>255.33333333333334</v>
      </c>
      <c r="E69" s="9">
        <f t="shared" si="15"/>
        <v>207.5</v>
      </c>
      <c r="F69" s="9">
        <f t="shared" si="15"/>
        <v>83.83333333333333</v>
      </c>
      <c r="G69" s="9">
        <f t="shared" si="15"/>
        <v>409.5</v>
      </c>
      <c r="H69" s="9">
        <f t="shared" si="15"/>
        <v>470</v>
      </c>
    </row>
    <row r="70" spans="1:8" ht="11.25">
      <c r="A70" s="5" t="s">
        <v>62</v>
      </c>
      <c r="B70" s="7"/>
      <c r="C70" s="7"/>
      <c r="D70" s="7"/>
      <c r="E70" s="7"/>
      <c r="F70" s="7"/>
      <c r="G70" s="7"/>
      <c r="H70" s="7"/>
    </row>
    <row r="71" spans="1:8" ht="11.25">
      <c r="A71" s="7" t="s">
        <v>63</v>
      </c>
      <c r="B71" s="7"/>
      <c r="C71" s="12">
        <f>+(C10/G10)-1</f>
        <v>1.1459373433037565</v>
      </c>
      <c r="D71" s="12">
        <f>+(D10/43375)-1</f>
        <v>0.231400576368876</v>
      </c>
      <c r="E71" s="12">
        <f>+(E10/35055)-1</f>
        <v>0.6168592212237911</v>
      </c>
      <c r="F71" s="12">
        <f>+(F10/33738)-1</f>
        <v>0.6615685577094077</v>
      </c>
      <c r="G71" s="12">
        <f>+(G10/H10)-1</f>
        <v>0.5560417938801818</v>
      </c>
      <c r="H71" s="12">
        <f>+(H10/27584)-1</f>
        <v>0.06866299303944312</v>
      </c>
    </row>
    <row r="72" spans="1:8" ht="11.25">
      <c r="A72" s="7" t="s">
        <v>64</v>
      </c>
      <c r="B72" s="7"/>
      <c r="C72" s="12">
        <f aca="true" t="shared" si="16" ref="C72:H72">SUM(C73:C74)</f>
        <v>1.2674091808056627</v>
      </c>
      <c r="D72" s="12">
        <f t="shared" si="16"/>
        <v>0.039268069533394234</v>
      </c>
      <c r="E72" s="12">
        <f t="shared" si="16"/>
        <v>0.10060146343332188</v>
      </c>
      <c r="F72" s="12">
        <f t="shared" si="16"/>
        <v>0.6067906768265352</v>
      </c>
      <c r="G72" s="12">
        <f t="shared" si="16"/>
        <v>0.5873216941124635</v>
      </c>
      <c r="H72" s="12">
        <f t="shared" si="16"/>
        <v>0.13616169200926098</v>
      </c>
    </row>
    <row r="73" spans="1:8" ht="11.25">
      <c r="A73" s="7"/>
      <c r="B73" s="7" t="s">
        <v>13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ht="11.25">
      <c r="A74" s="7"/>
      <c r="B74" s="7" t="s">
        <v>14</v>
      </c>
      <c r="C74" s="12">
        <f>+(C14/G14)-1</f>
        <v>1.2674091808056627</v>
      </c>
      <c r="D74" s="12">
        <f>+(D14/27325)-1</f>
        <v>0.039268069533394234</v>
      </c>
      <c r="E74" s="12">
        <f>+(E14/26103)-1</f>
        <v>0.10060146343332188</v>
      </c>
      <c r="F74" s="12">
        <f>+(F14/17848)-1</f>
        <v>0.6067906768265352</v>
      </c>
      <c r="G74" s="12">
        <f>+(G14/H14)-1</f>
        <v>0.5873216941124635</v>
      </c>
      <c r="H74" s="12">
        <f>+(H14/15981)-1</f>
        <v>0.13616169200926098</v>
      </c>
    </row>
    <row r="75" spans="1:8" ht="11.25">
      <c r="A75" s="7" t="s">
        <v>65</v>
      </c>
      <c r="B75" s="7"/>
      <c r="C75" s="12">
        <f aca="true" t="shared" si="17" ref="C75:H75">SUM(C76:C77)</f>
        <v>1.5245882625840874</v>
      </c>
      <c r="D75" s="12">
        <f t="shared" si="17"/>
        <v>0.2712774933903359</v>
      </c>
      <c r="E75" s="12">
        <f t="shared" si="17"/>
        <v>0.6018256534626785</v>
      </c>
      <c r="F75" s="12">
        <f t="shared" si="17"/>
        <v>0.6024715660542432</v>
      </c>
      <c r="G75" s="12">
        <f t="shared" si="17"/>
        <v>0.4648940237013124</v>
      </c>
      <c r="H75" s="12">
        <f t="shared" si="17"/>
        <v>0.3390399271982709</v>
      </c>
    </row>
    <row r="76" spans="1:8" ht="11.25">
      <c r="A76" s="7"/>
      <c r="B76" s="7" t="s">
        <v>13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ht="11.25">
      <c r="A77" s="7"/>
      <c r="B77" s="7" t="s">
        <v>14</v>
      </c>
      <c r="C77" s="12">
        <f>+(C21/G21)-1</f>
        <v>1.5245882625840874</v>
      </c>
      <c r="D77" s="12">
        <f>+(D21/35554)-1</f>
        <v>0.2712774933903359</v>
      </c>
      <c r="E77" s="12">
        <f>+(E21/29688)-1</f>
        <v>0.6018256534626785</v>
      </c>
      <c r="F77" s="12">
        <f>+(F21/27432)-1</f>
        <v>0.6024715660542432</v>
      </c>
      <c r="G77" s="12">
        <f>+(G21/H21)-1</f>
        <v>0.4648940237013124</v>
      </c>
      <c r="H77" s="12">
        <f>+(H21/17582)-1</f>
        <v>0.3390399271982709</v>
      </c>
    </row>
    <row r="78" spans="1:8" ht="11.25">
      <c r="A78" s="7" t="s">
        <v>20</v>
      </c>
      <c r="B78" s="7"/>
      <c r="C78" s="17">
        <f>+(C24/G24)-1</f>
        <v>0.3370118845500849</v>
      </c>
      <c r="D78" s="17">
        <f>+(D24/5403)-1</f>
        <v>0.4086618545252638</v>
      </c>
      <c r="E78" s="17">
        <f>+(E24/4907)-1</f>
        <v>0.4927654371306298</v>
      </c>
      <c r="F78" s="17">
        <f>+(F24/5768)-1</f>
        <v>0.14112343966712904</v>
      </c>
      <c r="G78" s="17">
        <f>+(G24/H24)-1</f>
        <v>0.049162807267545405</v>
      </c>
      <c r="H78" s="17">
        <f>+(H24/9678)-1</f>
        <v>-0.419921471378384</v>
      </c>
    </row>
    <row r="79" spans="1:8" ht="11.25">
      <c r="A79" s="3" t="s">
        <v>66</v>
      </c>
      <c r="B79" s="3"/>
      <c r="C79" s="14">
        <f>+(C39/G39)-1</f>
        <v>-0.2682132682132682</v>
      </c>
      <c r="D79" s="14">
        <f>+(D39/1731)-1</f>
        <v>-0.11496244945118428</v>
      </c>
      <c r="E79" s="14">
        <f>+(E39/1335)-1</f>
        <v>-0.0674157303370787</v>
      </c>
      <c r="F79" s="14">
        <f>+(F39/341)-1</f>
        <v>0.4750733137829912</v>
      </c>
      <c r="G79" s="14">
        <f>+(G39/H39)-1</f>
        <v>-0.12872340425531914</v>
      </c>
      <c r="H79" s="14">
        <f>+(H39/6625)-1</f>
        <v>-0.5743396226415094</v>
      </c>
    </row>
    <row r="80" spans="1:8" ht="11.25">
      <c r="A80" s="7"/>
      <c r="B80" s="7"/>
      <c r="C80" s="7"/>
      <c r="D80" s="7"/>
      <c r="E80" s="7"/>
      <c r="F80" s="7"/>
      <c r="G80" s="7"/>
      <c r="H80" s="7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  <row r="92" spans="1:8" ht="9">
      <c r="A92" s="2"/>
      <c r="B92" s="2"/>
      <c r="C92" s="2"/>
      <c r="D92" s="2"/>
      <c r="E92" s="2"/>
      <c r="F92" s="2"/>
      <c r="G92" s="2"/>
      <c r="H92" s="2"/>
    </row>
  </sheetData>
  <sheetProtection password="CD66" sheet="1" objects="1" scenarios="1"/>
  <printOptions horizont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2002-05-03T14:25:30Z</cp:lastPrinted>
  <dcterms:created xsi:type="dcterms:W3CDTF">2002-03-08T15:54:32Z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