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e Finanzas" sheetId="1" r:id="rId1"/>
  </sheets>
  <definedNames>
    <definedName name="_xlnm.Print_Area" localSheetId="0">'de Finanzas'!$A$1:$H$78</definedName>
  </definedNames>
  <calcPr fullCalcOnLoad="1"/>
</workbook>
</file>

<file path=xl/sharedStrings.xml><?xml version="1.0" encoding="utf-8"?>
<sst xmlns="http://schemas.openxmlformats.org/spreadsheetml/2006/main" count="80" uniqueCount="68">
  <si>
    <t>CUADRO No. 19-22    BANCO DE FINANZAS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</si>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</sst>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43" fontId="4" fillId="0" borderId="0" xfId="15" applyFont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2419350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57421875" style="1" customWidth="1"/>
    <col min="2" max="2" width="36.421875" style="1" customWidth="1"/>
    <col min="3" max="3" width="11.57421875" style="1" customWidth="1"/>
    <col min="4" max="4" width="8.7109375" style="1" customWidth="1"/>
    <col min="5" max="5" width="9.8515625" style="1" customWidth="1"/>
    <col min="6" max="6" width="9.00390625" style="1" customWidth="1"/>
    <col min="7" max="7" width="11.57421875" style="1" customWidth="1"/>
    <col min="8" max="16384" width="11.421875" style="1" customWidth="1"/>
  </cols>
  <sheetData>
    <row r="1" spans="2:8" ht="11.25">
      <c r="B1" s="17"/>
      <c r="C1" s="17"/>
      <c r="D1" s="17"/>
      <c r="E1" s="17"/>
      <c r="F1" s="17"/>
      <c r="G1" s="17"/>
      <c r="H1" s="17"/>
    </row>
    <row r="2" spans="3:8" ht="11.25">
      <c r="C2" s="17"/>
      <c r="D2" s="17"/>
      <c r="E2" s="17"/>
      <c r="F2" s="17" t="s">
        <v>0</v>
      </c>
      <c r="G2" s="17"/>
      <c r="H2" s="17"/>
    </row>
    <row r="3" spans="2:8" ht="11.25">
      <c r="B3" s="18"/>
      <c r="C3" s="18"/>
      <c r="D3" s="18"/>
      <c r="E3" s="18"/>
      <c r="F3" s="17" t="s">
        <v>1</v>
      </c>
      <c r="G3" s="17"/>
      <c r="H3" s="18"/>
    </row>
    <row r="4" spans="1:8" ht="11.25">
      <c r="A4" s="18"/>
      <c r="B4" s="18"/>
      <c r="C4" s="18"/>
      <c r="D4" s="18"/>
      <c r="E4" s="18"/>
      <c r="F4" s="18" t="s">
        <v>2</v>
      </c>
      <c r="G4" s="18"/>
      <c r="H4" s="18"/>
    </row>
    <row r="5" spans="1:8" ht="11.25">
      <c r="A5" s="18"/>
      <c r="B5" s="18"/>
      <c r="C5" s="18"/>
      <c r="D5" s="18"/>
      <c r="E5" s="18"/>
      <c r="F5" s="18"/>
      <c r="G5" s="18"/>
      <c r="H5" s="18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24179</v>
      </c>
      <c r="D9" s="8">
        <v>20762</v>
      </c>
      <c r="E9" s="8">
        <v>19460</v>
      </c>
      <c r="F9" s="8">
        <v>18343</v>
      </c>
      <c r="G9" s="8">
        <v>14524</v>
      </c>
      <c r="H9" s="8">
        <v>7087</v>
      </c>
    </row>
    <row r="10" spans="1:8" ht="11.25">
      <c r="A10" s="7" t="s">
        <v>11</v>
      </c>
      <c r="B10" s="7"/>
      <c r="C10" s="8">
        <v>2509</v>
      </c>
      <c r="D10" s="8">
        <v>1375</v>
      </c>
      <c r="E10" s="8">
        <v>938</v>
      </c>
      <c r="F10" s="8">
        <v>1861</v>
      </c>
      <c r="G10" s="8">
        <v>846</v>
      </c>
      <c r="H10" s="8">
        <v>210</v>
      </c>
    </row>
    <row r="11" spans="1:8" ht="11.25">
      <c r="A11" s="7" t="s">
        <v>12</v>
      </c>
      <c r="B11" s="7"/>
      <c r="C11" s="8">
        <f aca="true" t="shared" si="0" ref="C11:H11">C12+C13</f>
        <v>17079</v>
      </c>
      <c r="D11" s="8">
        <f t="shared" si="0"/>
        <v>18195</v>
      </c>
      <c r="E11" s="8">
        <f t="shared" si="0"/>
        <v>17313</v>
      </c>
      <c r="F11" s="8">
        <f t="shared" si="0"/>
        <v>15493</v>
      </c>
      <c r="G11" s="8">
        <f t="shared" si="0"/>
        <v>12876</v>
      </c>
      <c r="H11" s="8">
        <f t="shared" si="0"/>
        <v>6386</v>
      </c>
    </row>
    <row r="12" spans="1:8" ht="11.25">
      <c r="A12" s="7"/>
      <c r="B12" s="7" t="s">
        <v>13</v>
      </c>
      <c r="C12" s="8"/>
      <c r="D12" s="8"/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17079</v>
      </c>
      <c r="D13" s="8">
        <v>18195</v>
      </c>
      <c r="E13" s="8">
        <v>17313</v>
      </c>
      <c r="F13" s="8">
        <v>15493</v>
      </c>
      <c r="G13" s="8">
        <v>12876</v>
      </c>
      <c r="H13" s="8">
        <v>6386</v>
      </c>
    </row>
    <row r="14" spans="1:8" ht="11.25">
      <c r="A14" s="7" t="s">
        <v>15</v>
      </c>
      <c r="B14" s="7"/>
      <c r="C14" s="8">
        <v>3000</v>
      </c>
      <c r="D14" s="8"/>
      <c r="E14" s="8"/>
      <c r="F14" s="8"/>
      <c r="G14" s="8">
        <v>0</v>
      </c>
      <c r="H14" s="8">
        <v>0</v>
      </c>
    </row>
    <row r="15" spans="1:8" ht="11.25">
      <c r="A15" s="7" t="s">
        <v>16</v>
      </c>
      <c r="B15" s="7"/>
      <c r="C15" s="8">
        <f aca="true" t="shared" si="1" ref="C15:H15">C16+C20</f>
        <v>20232</v>
      </c>
      <c r="D15" s="8">
        <f t="shared" si="1"/>
        <v>16934</v>
      </c>
      <c r="E15" s="8">
        <f t="shared" si="1"/>
        <v>15712</v>
      </c>
      <c r="F15" s="8">
        <f t="shared" si="1"/>
        <v>14482</v>
      </c>
      <c r="G15" s="8">
        <f t="shared" si="1"/>
        <v>10931</v>
      </c>
      <c r="H15" s="8">
        <f t="shared" si="1"/>
        <v>3817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/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/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20232</v>
      </c>
      <c r="D20" s="8">
        <f t="shared" si="3"/>
        <v>16934</v>
      </c>
      <c r="E20" s="8">
        <f t="shared" si="3"/>
        <v>15712</v>
      </c>
      <c r="F20" s="8">
        <f t="shared" si="3"/>
        <v>14482</v>
      </c>
      <c r="G20" s="8">
        <f t="shared" si="3"/>
        <v>10931</v>
      </c>
      <c r="H20" s="8">
        <f t="shared" si="3"/>
        <v>3817</v>
      </c>
    </row>
    <row r="21" spans="1:8" ht="11.25">
      <c r="A21" s="7"/>
      <c r="B21" s="7" t="s">
        <v>18</v>
      </c>
      <c r="C21" s="8">
        <f>18786+1446</f>
        <v>20232</v>
      </c>
      <c r="D21" s="8">
        <v>16934</v>
      </c>
      <c r="E21" s="8">
        <v>15712</v>
      </c>
      <c r="F21" s="8">
        <v>14482</v>
      </c>
      <c r="G21" s="8">
        <v>10931</v>
      </c>
      <c r="H21" s="8">
        <v>3817</v>
      </c>
    </row>
    <row r="22" spans="1:8" ht="11.25">
      <c r="A22" s="7"/>
      <c r="B22" s="7" t="s">
        <v>19</v>
      </c>
      <c r="C22" s="8"/>
      <c r="D22" s="8"/>
      <c r="E22" s="8"/>
      <c r="F22" s="8"/>
      <c r="G22" s="8">
        <v>0</v>
      </c>
      <c r="H22" s="8">
        <v>0</v>
      </c>
    </row>
    <row r="23" spans="1:8" ht="11.25">
      <c r="A23" s="3" t="s">
        <v>20</v>
      </c>
      <c r="B23" s="3"/>
      <c r="C23" s="9">
        <v>3156</v>
      </c>
      <c r="D23" s="9">
        <v>3064</v>
      </c>
      <c r="E23" s="9">
        <v>3000</v>
      </c>
      <c r="F23" s="9">
        <v>3009</v>
      </c>
      <c r="G23" s="9">
        <v>3018</v>
      </c>
      <c r="H23" s="9">
        <v>3006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19351.5</v>
      </c>
      <c r="D25" s="8">
        <f>+(13585+D9)/2</f>
        <v>17173.5</v>
      </c>
      <c r="E25" s="8">
        <f>+(11137+E9)/2</f>
        <v>15298.5</v>
      </c>
      <c r="F25" s="8">
        <f>+(9904+F9)/2</f>
        <v>14123.5</v>
      </c>
      <c r="G25" s="8">
        <f>(G9+H9)/2</f>
        <v>10805.5</v>
      </c>
      <c r="H25" s="8">
        <f>(H9+5038)/2</f>
        <v>6062.5</v>
      </c>
    </row>
    <row r="26" spans="1:8" ht="11.25">
      <c r="A26" s="7" t="s">
        <v>22</v>
      </c>
      <c r="B26" s="7"/>
      <c r="C26" s="8">
        <f aca="true" t="shared" si="4" ref="C26:H26">C27+C28</f>
        <v>16477.5</v>
      </c>
      <c r="D26" s="8">
        <f t="shared" si="4"/>
        <v>15211</v>
      </c>
      <c r="E26" s="8">
        <f t="shared" si="4"/>
        <v>13776</v>
      </c>
      <c r="F26" s="8">
        <f t="shared" si="4"/>
        <v>12243.5</v>
      </c>
      <c r="G26" s="8">
        <f t="shared" si="4"/>
        <v>9631</v>
      </c>
      <c r="H26" s="8">
        <f t="shared" si="4"/>
        <v>5693</v>
      </c>
    </row>
    <row r="27" spans="1:8" ht="11.25">
      <c r="A27" s="7"/>
      <c r="B27" s="7" t="s">
        <v>12</v>
      </c>
      <c r="C27" s="8">
        <f>+(C11+G11)/2</f>
        <v>14977.5</v>
      </c>
      <c r="D27" s="8">
        <f>+(12227+D11)/2</f>
        <v>15211</v>
      </c>
      <c r="E27" s="8">
        <f>+(10239+E11)/2</f>
        <v>13776</v>
      </c>
      <c r="F27" s="8">
        <f>+(8994+F11)/2</f>
        <v>12243.5</v>
      </c>
      <c r="G27" s="8">
        <f>(G11+H11)/2</f>
        <v>9631</v>
      </c>
      <c r="H27" s="8">
        <f>(H11+4750)/2</f>
        <v>5568</v>
      </c>
    </row>
    <row r="28" spans="1:8" ht="11.25">
      <c r="A28" s="7"/>
      <c r="B28" s="7" t="s">
        <v>15</v>
      </c>
      <c r="C28" s="8">
        <f>+(C14+G14)/2</f>
        <v>1500</v>
      </c>
      <c r="D28" s="8">
        <v>0</v>
      </c>
      <c r="E28" s="8">
        <v>0</v>
      </c>
      <c r="F28" s="8">
        <v>0</v>
      </c>
      <c r="G28" s="8">
        <f>(G14+H14)/2</f>
        <v>0</v>
      </c>
      <c r="H28" s="8">
        <f>(H14+250)/2</f>
        <v>125</v>
      </c>
    </row>
    <row r="29" spans="1:8" ht="11.25">
      <c r="A29" s="3" t="s">
        <v>20</v>
      </c>
      <c r="B29" s="3"/>
      <c r="C29" s="9">
        <f>+(C23+G23)/2</f>
        <v>3087</v>
      </c>
      <c r="D29" s="9">
        <f>+(2988+D23)/2</f>
        <v>3026</v>
      </c>
      <c r="E29" s="9">
        <f>+(2974+E23)/2</f>
        <v>2987</v>
      </c>
      <c r="F29" s="9">
        <f>+(2987+F23)/2</f>
        <v>2998</v>
      </c>
      <c r="G29" s="9">
        <f>(G23+H23)/2</f>
        <v>3012</v>
      </c>
      <c r="H29" s="9">
        <f>(H23+3000)/2</f>
        <v>3003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1916</v>
      </c>
      <c r="D31" s="8">
        <v>1293</v>
      </c>
      <c r="E31" s="8">
        <v>746</v>
      </c>
      <c r="F31" s="8">
        <v>346</v>
      </c>
      <c r="G31" s="8">
        <v>968</v>
      </c>
      <c r="H31" s="8">
        <v>414</v>
      </c>
    </row>
    <row r="32" spans="1:8" ht="11.25">
      <c r="A32" s="7" t="s">
        <v>25</v>
      </c>
      <c r="B32" s="7"/>
      <c r="C32" s="8">
        <v>1500</v>
      </c>
      <c r="D32" s="8">
        <v>1071</v>
      </c>
      <c r="E32" s="8">
        <v>657</v>
      </c>
      <c r="F32" s="8">
        <v>308</v>
      </c>
      <c r="G32" s="8">
        <v>793</v>
      </c>
      <c r="H32" s="8">
        <v>203</v>
      </c>
    </row>
    <row r="33" spans="1:8" ht="11.25">
      <c r="A33" s="7" t="s">
        <v>26</v>
      </c>
      <c r="B33" s="7"/>
      <c r="C33" s="8">
        <f aca="true" t="shared" si="5" ref="C33:H33">C31-C32</f>
        <v>416</v>
      </c>
      <c r="D33" s="8">
        <f t="shared" si="5"/>
        <v>222</v>
      </c>
      <c r="E33" s="8">
        <f t="shared" si="5"/>
        <v>89</v>
      </c>
      <c r="F33" s="8">
        <f t="shared" si="5"/>
        <v>38</v>
      </c>
      <c r="G33" s="8">
        <f t="shared" si="5"/>
        <v>175</v>
      </c>
      <c r="H33" s="8">
        <f t="shared" si="5"/>
        <v>211</v>
      </c>
    </row>
    <row r="34" spans="1:8" ht="11.25">
      <c r="A34" s="7" t="s">
        <v>27</v>
      </c>
      <c r="B34" s="7"/>
      <c r="C34" s="8">
        <v>38</v>
      </c>
      <c r="D34" s="8">
        <v>30</v>
      </c>
      <c r="E34" s="8">
        <v>20</v>
      </c>
      <c r="F34" s="8">
        <v>12</v>
      </c>
      <c r="G34" s="8">
        <v>75</v>
      </c>
      <c r="H34" s="8">
        <v>17</v>
      </c>
    </row>
    <row r="35" spans="1:8" ht="11.25">
      <c r="A35" s="7" t="s">
        <v>28</v>
      </c>
      <c r="B35" s="7"/>
      <c r="C35" s="8">
        <f aca="true" t="shared" si="6" ref="C35:H35">C33+C34</f>
        <v>454</v>
      </c>
      <c r="D35" s="8">
        <f t="shared" si="6"/>
        <v>252</v>
      </c>
      <c r="E35" s="8">
        <f t="shared" si="6"/>
        <v>109</v>
      </c>
      <c r="F35" s="8">
        <f t="shared" si="6"/>
        <v>50</v>
      </c>
      <c r="G35" s="8">
        <f t="shared" si="6"/>
        <v>250</v>
      </c>
      <c r="H35" s="8">
        <f t="shared" si="6"/>
        <v>228</v>
      </c>
    </row>
    <row r="36" spans="1:8" ht="11.25">
      <c r="A36" s="7" t="s">
        <v>29</v>
      </c>
      <c r="B36" s="7"/>
      <c r="C36" s="8">
        <v>314</v>
      </c>
      <c r="D36" s="8">
        <v>203</v>
      </c>
      <c r="E36" s="8">
        <v>126</v>
      </c>
      <c r="F36" s="8">
        <v>59</v>
      </c>
      <c r="G36" s="8">
        <v>238</v>
      </c>
      <c r="H36" s="8">
        <v>222</v>
      </c>
    </row>
    <row r="37" spans="1:8" ht="11.25">
      <c r="A37" s="7" t="s">
        <v>30</v>
      </c>
      <c r="B37" s="7"/>
      <c r="C37" s="8">
        <f aca="true" t="shared" si="7" ref="C37:H37">C35-C36</f>
        <v>140</v>
      </c>
      <c r="D37" s="8">
        <f t="shared" si="7"/>
        <v>49</v>
      </c>
      <c r="E37" s="8">
        <f t="shared" si="7"/>
        <v>-17</v>
      </c>
      <c r="F37" s="8">
        <f t="shared" si="7"/>
        <v>-9</v>
      </c>
      <c r="G37" s="8">
        <f t="shared" si="7"/>
        <v>12</v>
      </c>
      <c r="H37" s="8">
        <f t="shared" si="7"/>
        <v>6</v>
      </c>
    </row>
    <row r="38" spans="1:8" ht="11.25">
      <c r="A38" s="3" t="s">
        <v>31</v>
      </c>
      <c r="B38" s="3"/>
      <c r="C38" s="9">
        <v>140</v>
      </c>
      <c r="D38" s="9">
        <v>49</v>
      </c>
      <c r="E38" s="9">
        <v>-17</v>
      </c>
      <c r="F38" s="9">
        <v>-9</v>
      </c>
      <c r="G38" s="9">
        <v>12</v>
      </c>
      <c r="H38" s="9">
        <v>6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35</v>
      </c>
      <c r="B42" s="7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1.25">
      <c r="A43" s="7" t="s">
        <v>36</v>
      </c>
      <c r="B43" s="7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11.25">
      <c r="A44" s="11" t="s">
        <v>37</v>
      </c>
      <c r="B44" s="7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1.25">
      <c r="A45" s="7" t="s">
        <v>38</v>
      </c>
      <c r="B45" s="7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11.25">
      <c r="A46" s="3" t="s">
        <v>39</v>
      </c>
      <c r="B46" s="3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8" ref="C48:H48">+C29/C25</f>
        <v>0.15952251763429193</v>
      </c>
      <c r="D48" s="10">
        <f t="shared" si="8"/>
        <v>0.17620170611698255</v>
      </c>
      <c r="E48" s="10">
        <f t="shared" si="8"/>
        <v>0.19524790012092688</v>
      </c>
      <c r="F48" s="10">
        <f t="shared" si="8"/>
        <v>0.2122703295925231</v>
      </c>
      <c r="G48" s="10">
        <f t="shared" si="8"/>
        <v>0.2787469344315395</v>
      </c>
      <c r="H48" s="10">
        <f t="shared" si="8"/>
        <v>0.495340206185567</v>
      </c>
    </row>
    <row r="49" spans="1:8" ht="11.25">
      <c r="A49" s="3" t="s">
        <v>42</v>
      </c>
      <c r="B49" s="3"/>
      <c r="C49" s="12">
        <f aca="true" t="shared" si="9" ref="C49:H49">+C29/C26</f>
        <v>0.18734638142922166</v>
      </c>
      <c r="D49" s="12">
        <f t="shared" si="9"/>
        <v>0.19893498126355927</v>
      </c>
      <c r="E49" s="12">
        <f t="shared" si="9"/>
        <v>0.21682636469221836</v>
      </c>
      <c r="F49" s="12">
        <f t="shared" si="9"/>
        <v>0.24486462204435006</v>
      </c>
      <c r="G49" s="12">
        <f t="shared" si="9"/>
        <v>0.3127401100612605</v>
      </c>
      <c r="H49" s="12">
        <f t="shared" si="9"/>
        <v>0.527489899877042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0">
        <f aca="true" t="shared" si="10" ref="C51:H51">C10/C15</f>
        <v>0.12401146698299723</v>
      </c>
      <c r="D51" s="10">
        <f t="shared" si="10"/>
        <v>0.08119759064603756</v>
      </c>
      <c r="E51" s="10">
        <f t="shared" si="10"/>
        <v>0.05969959266802444</v>
      </c>
      <c r="F51" s="10">
        <f t="shared" si="10"/>
        <v>0.12850435022786907</v>
      </c>
      <c r="G51" s="10">
        <f t="shared" si="10"/>
        <v>0.07739456591345714</v>
      </c>
      <c r="H51" s="10">
        <f t="shared" si="10"/>
        <v>0.05501702908042966</v>
      </c>
    </row>
    <row r="52" spans="1:8" ht="11.25">
      <c r="A52" s="7" t="s">
        <v>45</v>
      </c>
      <c r="B52" s="7"/>
      <c r="C52" s="10">
        <f aca="true" t="shared" si="11" ref="C52:H52">C10/C9</f>
        <v>0.1037677323297076</v>
      </c>
      <c r="D52" s="10">
        <f t="shared" si="11"/>
        <v>0.06622676042770446</v>
      </c>
      <c r="E52" s="10">
        <f t="shared" si="11"/>
        <v>0.04820143884892086</v>
      </c>
      <c r="F52" s="10">
        <f t="shared" si="11"/>
        <v>0.10145559614021697</v>
      </c>
      <c r="G52" s="10">
        <f t="shared" si="11"/>
        <v>0.05824841641421096</v>
      </c>
      <c r="H52" s="10">
        <f t="shared" si="11"/>
        <v>0.029631720050797235</v>
      </c>
    </row>
    <row r="53" spans="1:8" ht="11.25">
      <c r="A53" s="3" t="s">
        <v>46</v>
      </c>
      <c r="B53" s="3"/>
      <c r="C53" s="12">
        <f aca="true" t="shared" si="12" ref="C53:H53">(C10+C14)/C15</f>
        <v>0.2722914195334124</v>
      </c>
      <c r="D53" s="12">
        <f t="shared" si="12"/>
        <v>0.08119759064603756</v>
      </c>
      <c r="E53" s="12">
        <f t="shared" si="12"/>
        <v>0.05969959266802444</v>
      </c>
      <c r="F53" s="12">
        <f t="shared" si="12"/>
        <v>0.12850435022786907</v>
      </c>
      <c r="G53" s="12">
        <f t="shared" si="12"/>
        <v>0.07739456591345714</v>
      </c>
      <c r="H53" s="12">
        <f t="shared" si="12"/>
        <v>0.05501702908042966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3">
        <f>C38/C26</f>
        <v>0.008496434531937491</v>
      </c>
      <c r="D55" s="13">
        <f>(D38/0.75)/D26</f>
        <v>0.0042951372909955515</v>
      </c>
      <c r="E55" s="13">
        <f>(E38/0.5)/E26</f>
        <v>-0.0024680603948896633</v>
      </c>
      <c r="F55" s="10">
        <f>((F38)/0.25)/F26</f>
        <v>-0.002940335688324417</v>
      </c>
      <c r="G55" s="10">
        <f>G38/G26</f>
        <v>0.0012459765341086076</v>
      </c>
      <c r="H55" s="10">
        <f>H38/H26</f>
        <v>0.0010539258738802037</v>
      </c>
    </row>
    <row r="56" spans="1:8" ht="11.25">
      <c r="A56" s="7" t="s">
        <v>49</v>
      </c>
      <c r="B56" s="7"/>
      <c r="C56" s="13">
        <f>C38/C25</f>
        <v>0.007234581298607343</v>
      </c>
      <c r="D56" s="13">
        <f>(D38/0.75)/D25</f>
        <v>0.003804310905367766</v>
      </c>
      <c r="E56" s="13">
        <f>(E38/0.5)/E25</f>
        <v>-0.00222244010850737</v>
      </c>
      <c r="F56" s="10">
        <f>((F38)/0.25)/F25</f>
        <v>-0.0025489432506106842</v>
      </c>
      <c r="G56" s="10">
        <f>G38/G25</f>
        <v>0.0011105455555041415</v>
      </c>
      <c r="H56" s="10">
        <f>H38/H25</f>
        <v>0.0009896907216494846</v>
      </c>
    </row>
    <row r="57" spans="1:8" ht="11.25">
      <c r="A57" s="7" t="s">
        <v>50</v>
      </c>
      <c r="B57" s="7"/>
      <c r="C57" s="13">
        <f>+C38/C29</f>
        <v>0.045351473922902494</v>
      </c>
      <c r="D57" s="13">
        <f>(D38/0.75)/D29</f>
        <v>0.02159065873540427</v>
      </c>
      <c r="E57" s="13">
        <f>(E38/0.5)/E29</f>
        <v>-0.011382658185470372</v>
      </c>
      <c r="F57" s="10">
        <f>((F38)/0.25)/F29</f>
        <v>-0.01200800533689126</v>
      </c>
      <c r="G57" s="10">
        <f>G38/G29</f>
        <v>0.00398406374501992</v>
      </c>
      <c r="H57" s="10">
        <f>H38/H29</f>
        <v>0.001998001998001998</v>
      </c>
    </row>
    <row r="58" spans="1:8" ht="11.25">
      <c r="A58" s="7" t="s">
        <v>51</v>
      </c>
      <c r="B58" s="7"/>
      <c r="C58" s="13">
        <f>C31/C25</f>
        <v>0.09901041262951192</v>
      </c>
      <c r="D58" s="13">
        <f>(D31/0.75)/D25</f>
        <v>0.10038722450286779</v>
      </c>
      <c r="E58" s="13">
        <f>(E31/0.5)/E25</f>
        <v>0.09752590123214694</v>
      </c>
      <c r="F58" s="10">
        <f>((F31)/0.25)/F25</f>
        <v>0.09799270719014408</v>
      </c>
      <c r="G58" s="10">
        <f>G31/G25</f>
        <v>0.08958400814400073</v>
      </c>
      <c r="H58" s="10">
        <f>H31/H25</f>
        <v>0.06828865979381443</v>
      </c>
    </row>
    <row r="59" spans="1:8" ht="11.25">
      <c r="A59" s="7" t="s">
        <v>52</v>
      </c>
      <c r="B59" s="7"/>
      <c r="C59" s="13">
        <f>C32/C25</f>
        <v>0.07751337105650724</v>
      </c>
      <c r="D59" s="13">
        <f>(D32/0.75)/D25</f>
        <v>0.08315136693160975</v>
      </c>
      <c r="E59" s="13">
        <f>(E32/0.5)/E25</f>
        <v>0.08589077360525542</v>
      </c>
      <c r="F59" s="10">
        <f>((F32)/0.25)/F25</f>
        <v>0.08723050235423231</v>
      </c>
      <c r="G59" s="10">
        <f>G32/G25</f>
        <v>0.073388552126232</v>
      </c>
      <c r="H59" s="10">
        <f>H32/H25</f>
        <v>0.033484536082474224</v>
      </c>
    </row>
    <row r="60" spans="1:8" ht="11.25">
      <c r="A60" s="7" t="s">
        <v>53</v>
      </c>
      <c r="B60" s="7"/>
      <c r="C60" s="13">
        <f>C33/C25</f>
        <v>0.021497041573004676</v>
      </c>
      <c r="D60" s="13">
        <f>(D33/0.75)/D25</f>
        <v>0.017235857571258045</v>
      </c>
      <c r="E60" s="13">
        <f>(E33/0.5)/E25</f>
        <v>0.011635127626891525</v>
      </c>
      <c r="F60" s="10">
        <f>((F33)/0.25)/F25</f>
        <v>0.010762204835911778</v>
      </c>
      <c r="G60" s="10">
        <f>G33/G25</f>
        <v>0.016195456017768728</v>
      </c>
      <c r="H60" s="10">
        <f>H33/H25</f>
        <v>0.03480412371134021</v>
      </c>
    </row>
    <row r="61" spans="1:8" ht="11.25">
      <c r="A61" s="7" t="s">
        <v>54</v>
      </c>
      <c r="B61" s="7"/>
      <c r="C61" s="13">
        <f>C36/C35</f>
        <v>0.6916299559471366</v>
      </c>
      <c r="D61" s="13">
        <f>(D36/0.75)/(D35/0.75)</f>
        <v>0.8055555555555556</v>
      </c>
      <c r="E61" s="13">
        <f>(E36/0.5)/(E35/0.5)</f>
        <v>1.1559633027522935</v>
      </c>
      <c r="F61" s="10">
        <f>(F36/0.25)/(F35/0.25)</f>
        <v>1.18</v>
      </c>
      <c r="G61" s="10">
        <f>G36/G35</f>
        <v>0.952</v>
      </c>
      <c r="H61" s="10">
        <f>H36/H35</f>
        <v>0.9736842105263158</v>
      </c>
    </row>
    <row r="62" spans="1:8" ht="11.25">
      <c r="A62" s="3" t="s">
        <v>55</v>
      </c>
      <c r="B62" s="3"/>
      <c r="C62" s="14">
        <f>C34/C25</f>
        <v>0.0019636720667648502</v>
      </c>
      <c r="D62" s="14">
        <f>(D34/0.75)/D25</f>
        <v>0.0023291699420618975</v>
      </c>
      <c r="E62" s="14">
        <f>(E34/0.5)/E25</f>
        <v>0.0026146354217733763</v>
      </c>
      <c r="F62" s="12">
        <f>(F34/0.25)/F25</f>
        <v>0.0033985910008142457</v>
      </c>
      <c r="G62" s="12">
        <f>G34/G25</f>
        <v>0.006940909721900884</v>
      </c>
      <c r="H62" s="12">
        <f>H34/H25</f>
        <v>0.0028041237113402063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6</v>
      </c>
      <c r="D64" s="8">
        <v>6</v>
      </c>
      <c r="E64" s="8">
        <v>6</v>
      </c>
      <c r="F64" s="8">
        <v>5</v>
      </c>
      <c r="G64" s="8">
        <v>3</v>
      </c>
      <c r="H64" s="8">
        <v>6</v>
      </c>
    </row>
    <row r="65" spans="1:8" ht="11.25">
      <c r="A65" s="7" t="s">
        <v>58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59</v>
      </c>
      <c r="B66" s="7"/>
      <c r="C66" s="8">
        <f aca="true" t="shared" si="13" ref="C66:H66">C11/C64</f>
        <v>2846.5</v>
      </c>
      <c r="D66" s="8">
        <f t="shared" si="13"/>
        <v>3032.5</v>
      </c>
      <c r="E66" s="8">
        <f t="shared" si="13"/>
        <v>2885.5</v>
      </c>
      <c r="F66" s="8">
        <f t="shared" si="13"/>
        <v>3098.6</v>
      </c>
      <c r="G66" s="8">
        <f t="shared" si="13"/>
        <v>4292</v>
      </c>
      <c r="H66" s="8">
        <f t="shared" si="13"/>
        <v>1064.3333333333333</v>
      </c>
    </row>
    <row r="67" spans="1:8" ht="11.25">
      <c r="A67" s="7" t="s">
        <v>60</v>
      </c>
      <c r="B67" s="7"/>
      <c r="C67" s="8">
        <f aca="true" t="shared" si="14" ref="C67:H67">+C15/C64</f>
        <v>3372</v>
      </c>
      <c r="D67" s="8">
        <f t="shared" si="14"/>
        <v>2822.3333333333335</v>
      </c>
      <c r="E67" s="8">
        <f t="shared" si="14"/>
        <v>2618.6666666666665</v>
      </c>
      <c r="F67" s="8">
        <f t="shared" si="14"/>
        <v>2896.4</v>
      </c>
      <c r="G67" s="8">
        <f t="shared" si="14"/>
        <v>3643.6666666666665</v>
      </c>
      <c r="H67" s="8">
        <f t="shared" si="14"/>
        <v>636.1666666666666</v>
      </c>
    </row>
    <row r="68" spans="1:8" ht="11.25">
      <c r="A68" s="3" t="s">
        <v>61</v>
      </c>
      <c r="B68" s="3"/>
      <c r="C68" s="9">
        <f aca="true" t="shared" si="15" ref="C68:H68">+C38/C64</f>
        <v>23.333333333333332</v>
      </c>
      <c r="D68" s="9">
        <f t="shared" si="15"/>
        <v>8.166666666666666</v>
      </c>
      <c r="E68" s="9">
        <f t="shared" si="15"/>
        <v>-2.8333333333333335</v>
      </c>
      <c r="F68" s="9">
        <f t="shared" si="15"/>
        <v>-1.8</v>
      </c>
      <c r="G68" s="9">
        <f t="shared" si="15"/>
        <v>4</v>
      </c>
      <c r="H68" s="9">
        <f t="shared" si="15"/>
        <v>1</v>
      </c>
    </row>
    <row r="69" spans="1:8" ht="11.25">
      <c r="A69" s="5" t="s">
        <v>62</v>
      </c>
      <c r="B69" s="7"/>
      <c r="C69" s="15"/>
      <c r="D69" s="15"/>
      <c r="E69" s="15"/>
      <c r="F69" s="15"/>
      <c r="G69" s="15"/>
      <c r="H69" s="15"/>
    </row>
    <row r="70" spans="1:8" ht="11.25">
      <c r="A70" s="7" t="s">
        <v>63</v>
      </c>
      <c r="B70" s="7"/>
      <c r="C70" s="10">
        <f>+(C9/G9)-1</f>
        <v>0.6647617736160838</v>
      </c>
      <c r="D70" s="10">
        <f>+(D9/13585)-1</f>
        <v>0.5283032756716968</v>
      </c>
      <c r="E70" s="10">
        <f>+(E9/11137)-1</f>
        <v>0.7473287240729101</v>
      </c>
      <c r="F70" s="10">
        <f>+(F9/9904)-1</f>
        <v>0.8520799676898223</v>
      </c>
      <c r="G70" s="10">
        <f>+(G9/H9)-1</f>
        <v>1.0493862000846619</v>
      </c>
      <c r="H70" s="10">
        <f>(H9/5038)-1</f>
        <v>0.40670901151250494</v>
      </c>
    </row>
    <row r="71" spans="1:8" ht="11.25">
      <c r="A71" s="7" t="s">
        <v>64</v>
      </c>
      <c r="B71" s="7"/>
      <c r="C71" s="10">
        <f aca="true" t="shared" si="16" ref="C71:H71">SUM(C72:C73)</f>
        <v>0.326421248835042</v>
      </c>
      <c r="D71" s="10">
        <f t="shared" si="16"/>
        <v>0.488100106322074</v>
      </c>
      <c r="E71" s="10">
        <f t="shared" si="16"/>
        <v>0.6908877820099619</v>
      </c>
      <c r="F71" s="10">
        <f t="shared" si="16"/>
        <v>0.7225928396708916</v>
      </c>
      <c r="G71" s="10">
        <f t="shared" si="16"/>
        <v>1.0162856248042593</v>
      </c>
      <c r="H71" s="10">
        <f t="shared" si="16"/>
        <v>0.34442105263157896</v>
      </c>
    </row>
    <row r="72" spans="1:8" ht="11.25">
      <c r="A72" s="7"/>
      <c r="B72" s="7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7"/>
      <c r="B73" s="7" t="s">
        <v>14</v>
      </c>
      <c r="C73" s="10">
        <f>+(C13/G13)-1</f>
        <v>0.326421248835042</v>
      </c>
      <c r="D73" s="10">
        <f>+(D13/12227)-1</f>
        <v>0.488100106322074</v>
      </c>
      <c r="E73" s="10">
        <f>+(E13/10239)-1</f>
        <v>0.6908877820099619</v>
      </c>
      <c r="F73" s="10">
        <f>+(F13/8994)-1</f>
        <v>0.7225928396708916</v>
      </c>
      <c r="G73" s="10">
        <f>+(G13/H13)-1</f>
        <v>1.0162856248042593</v>
      </c>
      <c r="H73" s="10">
        <f>(H13/4750)-1</f>
        <v>0.34442105263157896</v>
      </c>
    </row>
    <row r="74" spans="1:8" ht="11.25">
      <c r="A74" s="7" t="s">
        <v>65</v>
      </c>
      <c r="B74" s="7"/>
      <c r="C74" s="10">
        <f aca="true" t="shared" si="17" ref="C74:H74">SUM(C75:C76)</f>
        <v>0.8508828103558685</v>
      </c>
      <c r="D74" s="10">
        <f t="shared" si="17"/>
        <v>0.6804604545003474</v>
      </c>
      <c r="E74" s="10">
        <f t="shared" si="17"/>
        <v>1.0273548387096776</v>
      </c>
      <c r="F74" s="10">
        <f t="shared" si="17"/>
        <v>1.1972386587771204</v>
      </c>
      <c r="G74" s="10">
        <f t="shared" si="17"/>
        <v>1.8637673565627457</v>
      </c>
      <c r="H74" s="10">
        <f t="shared" si="17"/>
        <v>0</v>
      </c>
    </row>
    <row r="75" spans="1:8" ht="11.25">
      <c r="A75" s="7"/>
      <c r="B75" s="7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7"/>
      <c r="B76" s="7" t="s">
        <v>14</v>
      </c>
      <c r="C76" s="10">
        <f>+(C20/G20)-1</f>
        <v>0.8508828103558685</v>
      </c>
      <c r="D76" s="10">
        <f>+(D20/10077)-1</f>
        <v>0.6804604545003474</v>
      </c>
      <c r="E76" s="10">
        <f>+(E20/7750)-1</f>
        <v>1.0273548387096776</v>
      </c>
      <c r="F76" s="10">
        <f>+(F20/6591)-1</f>
        <v>1.1972386587771204</v>
      </c>
      <c r="G76" s="10">
        <f>+(G20/H20)-1</f>
        <v>1.8637673565627457</v>
      </c>
      <c r="H76" s="10">
        <v>0</v>
      </c>
    </row>
    <row r="77" spans="1:8" ht="11.25">
      <c r="A77" s="7" t="s">
        <v>66</v>
      </c>
      <c r="B77" s="7"/>
      <c r="C77" s="16">
        <f>+(C23/G23)-1</f>
        <v>0.045725646123260466</v>
      </c>
      <c r="D77" s="16">
        <f>+(D23/2988)-1</f>
        <v>0.025435073627844806</v>
      </c>
      <c r="E77" s="16">
        <f>+(E23/2974)-1</f>
        <v>0.008742434431741719</v>
      </c>
      <c r="F77" s="16">
        <f>+(F23/2987)-1</f>
        <v>0.007365249414127861</v>
      </c>
      <c r="G77" s="16">
        <f>+(G23/H23)-1</f>
        <v>0.003992015968063978</v>
      </c>
      <c r="H77" s="16">
        <f>(H23/3000)-1</f>
        <v>0.0020000000000000018</v>
      </c>
    </row>
    <row r="78" spans="1:8" ht="11.25">
      <c r="A78" s="3" t="s">
        <v>67</v>
      </c>
      <c r="B78" s="3"/>
      <c r="C78" s="12">
        <f>+(C38/G38)-1</f>
        <v>10.666666666666666</v>
      </c>
      <c r="D78" s="12">
        <f>+(D38/18)-1</f>
        <v>1.7222222222222223</v>
      </c>
      <c r="E78" s="12">
        <f>+(E38/32)-1</f>
        <v>-1.53125</v>
      </c>
      <c r="F78" s="12">
        <f>+(F38/19)-1</f>
        <v>-1.4736842105263157</v>
      </c>
      <c r="G78" s="12">
        <f>+(G38/H38)-1</f>
        <v>1</v>
      </c>
      <c r="H78" s="12">
        <v>0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2002-05-02T20:13:55Z</cp:lastPrinted>
  <dcterms:created xsi:type="dcterms:W3CDTF">2002-03-08T15:51:09Z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