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resdner (Int)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<sst xmlns="http://schemas.openxmlformats.org/spreadsheetml/2006/main" count="103" uniqueCount="70">
  <si>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CUADRO No. 19-21     DRESDNER BANK LATEINAMERIKA AG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</si>
  <si>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</si>
  <si>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</si>
  <si>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</si>
  <si>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</si>
  <si>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</si>
  <si>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</si>
  <si>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</si>
  <si>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</si>
  <si>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</si>
  <si>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</si>
  <si>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</si>
  <si>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</si>
  <si>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</si>
  <si>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</si>
  <si>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</si>
  <si>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</si>
  <si>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</si>
  <si>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</si>
  <si>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</si>
  <si>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</si>
  <si>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</si>
  <si>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N.A.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</si>
  <si>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</si>
  <si>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</si>
  <si>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</si>
  <si>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</si>
  <si>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</si>
  <si>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</si>
  <si>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</si>
  <si>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</si>
  <si>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</si>
  <si>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</si>
  <si>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</si>
  <si>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</si>
  <si>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</si>
  <si>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</si>
  <si>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</si>
  <si>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</si>
  <si>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</si>
  <si>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</si>
  <si>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</si>
  <si>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Total de activos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</si>
  <si>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</si>
  <si>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</si>
  <si>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</si>
  <si>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</si>
  <si>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</si>
  <si>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</si>
  <si>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</si>
  <si>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N.A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</si>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</sst>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6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0" xfId="15" applyNumberFormat="1" applyFont="1" applyAlignment="1">
      <alignment horizontal="right"/>
    </xf>
    <xf numFmtId="179" fontId="4" fillId="0" borderId="1" xfId="15" applyNumberFormat="1" applyFont="1" applyBorder="1" applyAlignment="1">
      <alignment horizontal="right"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0" fontId="4" fillId="0" borderId="2" xfId="0" applyFont="1" applyBorder="1" applyAlignment="1">
      <alignment/>
    </xf>
    <xf numFmtId="10" fontId="4" fillId="0" borderId="0" xfId="19" applyNumberFormat="1" applyFont="1" applyFill="1" applyAlignment="1">
      <alignment/>
    </xf>
    <xf numFmtId="10" fontId="4" fillId="0" borderId="0" xfId="19" applyNumberFormat="1" applyFont="1" applyBorder="1" applyAlignment="1">
      <alignment horizontal="right"/>
    </xf>
    <xf numFmtId="10" fontId="4" fillId="0" borderId="0" xfId="19" applyNumberFormat="1" applyFont="1" applyBorder="1" applyAlignment="1">
      <alignment/>
    </xf>
    <xf numFmtId="10" fontId="4" fillId="0" borderId="1" xfId="19" applyNumberFormat="1" applyFont="1" applyFill="1" applyBorder="1" applyAlignment="1">
      <alignment/>
    </xf>
    <xf numFmtId="10" fontId="4" fillId="0" borderId="1" xfId="19" applyNumberFormat="1" applyFont="1" applyBorder="1" applyAlignment="1">
      <alignment horizontal="right"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57421875" style="1" customWidth="1"/>
    <col min="2" max="2" width="33.57421875" style="1" customWidth="1"/>
    <col min="3" max="3" width="11.421875" style="1" customWidth="1"/>
    <col min="4" max="4" width="9.8515625" style="1" customWidth="1"/>
    <col min="5" max="5" width="9.421875" style="1" customWidth="1"/>
    <col min="6" max="6" width="9.8515625" style="1" customWidth="1"/>
    <col min="7" max="7" width="10.57421875" style="1" customWidth="1"/>
    <col min="8" max="16384" width="11.421875" style="1" customWidth="1"/>
  </cols>
  <sheetData>
    <row r="1" spans="2:8" ht="11.25">
      <c r="B1" s="25"/>
      <c r="C1" s="25"/>
      <c r="D1" s="25"/>
      <c r="E1" s="25"/>
      <c r="F1" s="25"/>
      <c r="G1" s="25"/>
      <c r="H1" s="25"/>
    </row>
    <row r="2" spans="2:8" ht="11.25">
      <c r="B2" s="25"/>
      <c r="C2" s="25"/>
      <c r="D2" s="25"/>
      <c r="E2" s="25"/>
      <c r="F2" s="25" t="s">
        <v>0</v>
      </c>
      <c r="G2" s="25"/>
      <c r="H2" s="25"/>
    </row>
    <row r="3" spans="2:8" ht="11.25">
      <c r="B3" s="26"/>
      <c r="C3" s="26"/>
      <c r="D3" s="26"/>
      <c r="E3" s="26"/>
      <c r="F3" s="25" t="s">
        <v>1</v>
      </c>
      <c r="G3" s="26"/>
      <c r="H3" s="26"/>
    </row>
    <row r="4" spans="1:8" ht="11.25">
      <c r="A4" s="26"/>
      <c r="B4" s="26"/>
      <c r="C4" s="26"/>
      <c r="D4" s="26"/>
      <c r="E4" s="26"/>
      <c r="F4" s="26" t="s">
        <v>2</v>
      </c>
      <c r="G4" s="26"/>
      <c r="H4" s="26"/>
    </row>
    <row r="5" spans="1:8" ht="11.25">
      <c r="A5" s="26"/>
      <c r="B5" s="26"/>
      <c r="C5" s="26"/>
      <c r="D5" s="26"/>
      <c r="E5" s="26"/>
      <c r="F5" s="26"/>
      <c r="G5" s="26"/>
      <c r="H5" s="2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1915642</v>
      </c>
      <c r="D9" s="8">
        <v>2204008</v>
      </c>
      <c r="E9" s="8">
        <v>1848763</v>
      </c>
      <c r="F9" s="8">
        <v>2233940</v>
      </c>
      <c r="G9" s="8">
        <v>1965977</v>
      </c>
      <c r="H9" s="8">
        <v>1663632</v>
      </c>
    </row>
    <row r="10" spans="1:8" ht="11.25">
      <c r="A10" s="7" t="s">
        <v>11</v>
      </c>
      <c r="B10" s="7"/>
      <c r="C10" s="8">
        <v>1179043</v>
      </c>
      <c r="D10" s="8">
        <v>1381240</v>
      </c>
      <c r="E10" s="8">
        <v>945018</v>
      </c>
      <c r="F10" s="8">
        <v>1313920</v>
      </c>
      <c r="G10" s="8">
        <v>977193</v>
      </c>
      <c r="H10" s="8">
        <v>317706</v>
      </c>
    </row>
    <row r="11" spans="1:8" ht="11.25">
      <c r="A11" s="7" t="s">
        <v>12</v>
      </c>
      <c r="B11" s="7"/>
      <c r="C11" s="8">
        <f aca="true" t="shared" si="0" ref="C11:H11">C12+C13</f>
        <v>402825</v>
      </c>
      <c r="D11" s="8">
        <f t="shared" si="0"/>
        <v>480209</v>
      </c>
      <c r="E11" s="8">
        <f t="shared" si="0"/>
        <v>484594</v>
      </c>
      <c r="F11" s="8">
        <f t="shared" si="0"/>
        <v>498246</v>
      </c>
      <c r="G11" s="8">
        <f t="shared" si="0"/>
        <v>538149</v>
      </c>
      <c r="H11" s="8">
        <f t="shared" si="0"/>
        <v>912608</v>
      </c>
    </row>
    <row r="12" spans="1:8" ht="11.25">
      <c r="A12" s="7"/>
      <c r="B12" s="7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/>
      <c r="B13" s="7" t="s">
        <v>14</v>
      </c>
      <c r="C13" s="8">
        <v>402825</v>
      </c>
      <c r="D13" s="8">
        <v>480209</v>
      </c>
      <c r="E13" s="8">
        <v>484594</v>
      </c>
      <c r="F13" s="8">
        <v>498246</v>
      </c>
      <c r="G13" s="8">
        <v>538149</v>
      </c>
      <c r="H13" s="8">
        <v>912608</v>
      </c>
    </row>
    <row r="14" spans="1:8" ht="11.25">
      <c r="A14" s="7" t="s">
        <v>15</v>
      </c>
      <c r="B14" s="7"/>
      <c r="C14" s="8">
        <v>311473</v>
      </c>
      <c r="D14" s="8">
        <v>325043</v>
      </c>
      <c r="E14" s="8">
        <v>407134</v>
      </c>
      <c r="F14" s="8">
        <v>407010</v>
      </c>
      <c r="G14" s="8">
        <v>432586</v>
      </c>
      <c r="H14" s="8">
        <v>418002</v>
      </c>
    </row>
    <row r="15" spans="1:8" ht="11.25">
      <c r="A15" s="7" t="s">
        <v>16</v>
      </c>
      <c r="B15" s="7"/>
      <c r="C15" s="8">
        <f aca="true" t="shared" si="1" ref="C15:H15">C16+C20</f>
        <v>1618862</v>
      </c>
      <c r="D15" s="8">
        <f t="shared" si="1"/>
        <v>2062190</v>
      </c>
      <c r="E15" s="8">
        <f t="shared" si="1"/>
        <v>1693448</v>
      </c>
      <c r="F15" s="8">
        <f t="shared" si="1"/>
        <v>2111532</v>
      </c>
      <c r="G15" s="8">
        <f t="shared" si="1"/>
        <v>1860475</v>
      </c>
      <c r="H15" s="8">
        <f t="shared" si="1"/>
        <v>1520538</v>
      </c>
    </row>
    <row r="16" spans="1:8" ht="11.25">
      <c r="A16" s="7"/>
      <c r="B16" s="7" t="s">
        <v>13</v>
      </c>
      <c r="C16" s="8">
        <f aca="true" t="shared" si="2" ref="C16:H16">SUM(C17:C19)</f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1.25">
      <c r="A19" s="7"/>
      <c r="B19" s="7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1.25">
      <c r="A20" s="7"/>
      <c r="B20" s="7" t="s">
        <v>14</v>
      </c>
      <c r="C20" s="8">
        <f aca="true" t="shared" si="3" ref="C20:H20">SUM(C21:C22)</f>
        <v>1618862</v>
      </c>
      <c r="D20" s="8">
        <f t="shared" si="3"/>
        <v>2062190</v>
      </c>
      <c r="E20" s="8">
        <f t="shared" si="3"/>
        <v>1693448</v>
      </c>
      <c r="F20" s="8">
        <f t="shared" si="3"/>
        <v>2111532</v>
      </c>
      <c r="G20" s="8">
        <f t="shared" si="3"/>
        <v>1860475</v>
      </c>
      <c r="H20" s="8">
        <f t="shared" si="3"/>
        <v>1520538</v>
      </c>
    </row>
    <row r="21" spans="1:8" ht="11.25">
      <c r="A21" s="7"/>
      <c r="B21" s="7" t="s">
        <v>18</v>
      </c>
      <c r="C21" s="8">
        <f>540658+34356</f>
        <v>575014</v>
      </c>
      <c r="D21" s="8">
        <v>885865</v>
      </c>
      <c r="E21" s="8">
        <v>794806</v>
      </c>
      <c r="F21" s="8">
        <v>929690</v>
      </c>
      <c r="G21" s="8">
        <v>713534</v>
      </c>
      <c r="H21" s="8">
        <v>630302</v>
      </c>
    </row>
    <row r="22" spans="1:8" ht="11.25">
      <c r="A22" s="7"/>
      <c r="B22" s="7" t="s">
        <v>19</v>
      </c>
      <c r="C22" s="8">
        <f>14699+1029149</f>
        <v>1043848</v>
      </c>
      <c r="D22" s="8">
        <v>1176325</v>
      </c>
      <c r="E22" s="8">
        <v>898642</v>
      </c>
      <c r="F22" s="8">
        <v>1181842</v>
      </c>
      <c r="G22" s="8">
        <v>1146941</v>
      </c>
      <c r="H22" s="8">
        <v>890236</v>
      </c>
    </row>
    <row r="23" spans="1:8" ht="11.25">
      <c r="A23" s="3" t="s">
        <v>20</v>
      </c>
      <c r="B23" s="3"/>
      <c r="C23" s="9">
        <v>33784</v>
      </c>
      <c r="D23" s="9">
        <v>14846</v>
      </c>
      <c r="E23" s="9">
        <v>14300</v>
      </c>
      <c r="F23" s="9">
        <v>8756</v>
      </c>
      <c r="G23" s="9">
        <v>20919</v>
      </c>
      <c r="H23" s="9">
        <v>15587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1940809.5</v>
      </c>
      <c r="D25" s="8">
        <f>+(1917897+D9)/2</f>
        <v>2060952.5</v>
      </c>
      <c r="E25" s="8">
        <f>+(1731500+E9)/2</f>
        <v>1790131.5</v>
      </c>
      <c r="F25" s="8">
        <f>+(1648539+F9)/2</f>
        <v>1941239.5</v>
      </c>
      <c r="G25" s="8">
        <f>(G9+H9)/2</f>
        <v>1814804.5</v>
      </c>
      <c r="H25" s="10" t="s">
        <v>22</v>
      </c>
    </row>
    <row r="26" spans="1:8" ht="11.25">
      <c r="A26" s="7" t="s">
        <v>23</v>
      </c>
      <c r="B26" s="7"/>
      <c r="C26" s="8">
        <f>C27+C28</f>
        <v>842516.5</v>
      </c>
      <c r="D26" s="8">
        <f>D27+D28</f>
        <v>913247.5</v>
      </c>
      <c r="E26" s="8">
        <f>E27+E28</f>
        <v>1055469.5</v>
      </c>
      <c r="F26" s="8">
        <f>F27+F28</f>
        <v>1064960.5</v>
      </c>
      <c r="G26" s="8">
        <f>G27+G28</f>
        <v>1150672.5</v>
      </c>
      <c r="H26" s="10" t="s">
        <v>22</v>
      </c>
    </row>
    <row r="27" spans="1:8" ht="11.25">
      <c r="A27" s="7"/>
      <c r="B27" s="7" t="s">
        <v>12</v>
      </c>
      <c r="C27" s="8">
        <f>+(C11+G11)/2</f>
        <v>470487</v>
      </c>
      <c r="D27" s="8">
        <f>+(541417+D11)/2</f>
        <v>510813</v>
      </c>
      <c r="E27" s="8">
        <f>+(749087+E11)/2</f>
        <v>616840.5</v>
      </c>
      <c r="F27" s="8">
        <f>+(842985+F11)/2</f>
        <v>670615.5</v>
      </c>
      <c r="G27" s="8">
        <f>(G11+H11)/2</f>
        <v>725378.5</v>
      </c>
      <c r="H27" s="10" t="s">
        <v>22</v>
      </c>
    </row>
    <row r="28" spans="1:8" ht="11.25">
      <c r="A28" s="7"/>
      <c r="B28" s="7" t="s">
        <v>15</v>
      </c>
      <c r="C28" s="8">
        <f>+(C14+G14)/2</f>
        <v>372029.5</v>
      </c>
      <c r="D28" s="8">
        <f>+(479826+D14)/2</f>
        <v>402434.5</v>
      </c>
      <c r="E28" s="8">
        <f>+(470124+E14)/2</f>
        <v>438629</v>
      </c>
      <c r="F28" s="8">
        <f>+(381680+F14)/2</f>
        <v>394345</v>
      </c>
      <c r="G28" s="8">
        <f>(G14+H14)/2</f>
        <v>425294</v>
      </c>
      <c r="H28" s="10" t="s">
        <v>22</v>
      </c>
    </row>
    <row r="29" spans="1:8" ht="11.25">
      <c r="A29" s="3" t="s">
        <v>20</v>
      </c>
      <c r="B29" s="3"/>
      <c r="C29" s="9">
        <f>+(C23+G23)/2</f>
        <v>27351.5</v>
      </c>
      <c r="D29" s="9">
        <f>+(22591+D23)/2</f>
        <v>18718.5</v>
      </c>
      <c r="E29" s="9">
        <f>+(9294+E23)/2</f>
        <v>11797</v>
      </c>
      <c r="F29" s="9">
        <f>+(6583+F23)/2</f>
        <v>7669.5</v>
      </c>
      <c r="G29" s="9">
        <f>(G23+H23)/2</f>
        <v>18253</v>
      </c>
      <c r="H29" s="11" t="s">
        <v>22</v>
      </c>
    </row>
    <row r="30" spans="1:8" ht="11.25">
      <c r="A30" s="5" t="s">
        <v>24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25</v>
      </c>
      <c r="B31" s="7"/>
      <c r="C31" s="8">
        <v>118562</v>
      </c>
      <c r="D31" s="8">
        <v>83871</v>
      </c>
      <c r="E31" s="8">
        <v>55365</v>
      </c>
      <c r="F31" s="8">
        <v>27349</v>
      </c>
      <c r="G31" s="8">
        <v>84145</v>
      </c>
      <c r="H31" s="8">
        <v>96003</v>
      </c>
    </row>
    <row r="32" spans="1:8" ht="11.25">
      <c r="A32" s="7" t="s">
        <v>26</v>
      </c>
      <c r="B32" s="7"/>
      <c r="C32" s="8">
        <v>97140</v>
      </c>
      <c r="D32" s="8">
        <v>70828</v>
      </c>
      <c r="E32" s="8">
        <v>46767</v>
      </c>
      <c r="F32" s="8">
        <v>22552</v>
      </c>
      <c r="G32" s="8">
        <v>65395</v>
      </c>
      <c r="H32" s="8">
        <v>83444</v>
      </c>
    </row>
    <row r="33" spans="1:8" ht="11.25">
      <c r="A33" s="7" t="s">
        <v>27</v>
      </c>
      <c r="B33" s="7"/>
      <c r="C33" s="8">
        <f aca="true" t="shared" si="4" ref="C33:H33">C31-C32</f>
        <v>21422</v>
      </c>
      <c r="D33" s="8">
        <f t="shared" si="4"/>
        <v>13043</v>
      </c>
      <c r="E33" s="8">
        <f t="shared" si="4"/>
        <v>8598</v>
      </c>
      <c r="F33" s="8">
        <f t="shared" si="4"/>
        <v>4797</v>
      </c>
      <c r="G33" s="8">
        <f t="shared" si="4"/>
        <v>18750</v>
      </c>
      <c r="H33" s="8">
        <f t="shared" si="4"/>
        <v>12559</v>
      </c>
    </row>
    <row r="34" spans="1:8" ht="11.25">
      <c r="A34" s="7" t="s">
        <v>28</v>
      </c>
      <c r="B34" s="7"/>
      <c r="C34" s="8">
        <v>12409</v>
      </c>
      <c r="D34" s="8">
        <v>5034</v>
      </c>
      <c r="E34" s="8">
        <v>4573</v>
      </c>
      <c r="F34" s="8">
        <v>2869</v>
      </c>
      <c r="G34" s="8">
        <v>13321</v>
      </c>
      <c r="H34" s="8">
        <v>6732</v>
      </c>
    </row>
    <row r="35" spans="1:8" ht="11.25">
      <c r="A35" s="7" t="s">
        <v>29</v>
      </c>
      <c r="B35" s="7"/>
      <c r="C35" s="8">
        <f aca="true" t="shared" si="5" ref="C35:H35">C33+C34</f>
        <v>33831</v>
      </c>
      <c r="D35" s="8">
        <f t="shared" si="5"/>
        <v>18077</v>
      </c>
      <c r="E35" s="8">
        <f t="shared" si="5"/>
        <v>13171</v>
      </c>
      <c r="F35" s="8">
        <f t="shared" si="5"/>
        <v>7666</v>
      </c>
      <c r="G35" s="8">
        <f t="shared" si="5"/>
        <v>32071</v>
      </c>
      <c r="H35" s="8">
        <f t="shared" si="5"/>
        <v>19291</v>
      </c>
    </row>
    <row r="36" spans="1:8" ht="11.25">
      <c r="A36" s="7" t="s">
        <v>30</v>
      </c>
      <c r="B36" s="7"/>
      <c r="C36" s="8">
        <v>3049</v>
      </c>
      <c r="D36" s="8">
        <v>6103</v>
      </c>
      <c r="E36" s="8">
        <v>1871</v>
      </c>
      <c r="F36" s="8">
        <v>1910</v>
      </c>
      <c r="G36" s="8">
        <v>14255</v>
      </c>
      <c r="H36" s="8">
        <v>7802</v>
      </c>
    </row>
    <row r="37" spans="1:8" ht="11.25">
      <c r="A37" s="7" t="s">
        <v>31</v>
      </c>
      <c r="B37" s="7"/>
      <c r="C37" s="8">
        <f aca="true" t="shared" si="6" ref="C37:H37">C35-C36</f>
        <v>30782</v>
      </c>
      <c r="D37" s="8">
        <f t="shared" si="6"/>
        <v>11974</v>
      </c>
      <c r="E37" s="8">
        <f t="shared" si="6"/>
        <v>11300</v>
      </c>
      <c r="F37" s="8">
        <f t="shared" si="6"/>
        <v>5756</v>
      </c>
      <c r="G37" s="8">
        <f t="shared" si="6"/>
        <v>17816</v>
      </c>
      <c r="H37" s="8">
        <f t="shared" si="6"/>
        <v>11489</v>
      </c>
    </row>
    <row r="38" spans="1:8" ht="11.25">
      <c r="A38" s="3" t="s">
        <v>32</v>
      </c>
      <c r="B38" s="3"/>
      <c r="C38" s="9">
        <v>30787</v>
      </c>
      <c r="D38" s="9">
        <v>11848</v>
      </c>
      <c r="E38" s="9">
        <v>11300</v>
      </c>
      <c r="F38" s="9">
        <v>5756</v>
      </c>
      <c r="G38" s="9">
        <v>17816</v>
      </c>
      <c r="H38" s="9">
        <v>11488</v>
      </c>
    </row>
    <row r="39" spans="1:8" ht="11.25">
      <c r="A39" s="5" t="s">
        <v>33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34</v>
      </c>
      <c r="B40" s="7"/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35</v>
      </c>
      <c r="B41" s="7"/>
      <c r="C41" s="8">
        <v>1167</v>
      </c>
      <c r="D41" s="8">
        <v>2286</v>
      </c>
      <c r="E41" s="8">
        <v>2384</v>
      </c>
      <c r="F41" s="8">
        <v>2384</v>
      </c>
      <c r="G41" s="8">
        <v>2338</v>
      </c>
      <c r="H41" s="8">
        <v>5951</v>
      </c>
    </row>
    <row r="42" spans="1:8" ht="11.25">
      <c r="A42" s="7" t="s">
        <v>36</v>
      </c>
      <c r="B42" s="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1:8" ht="11.25">
      <c r="A43" s="7" t="s">
        <v>37</v>
      </c>
      <c r="B43" s="7"/>
      <c r="C43" s="12">
        <f aca="true" t="shared" si="7" ref="C43:H43">C41/C11</f>
        <v>0.002897039657419475</v>
      </c>
      <c r="D43" s="12">
        <f t="shared" si="7"/>
        <v>0.004760427230643324</v>
      </c>
      <c r="E43" s="12">
        <f t="shared" si="7"/>
        <v>0.004919582165689216</v>
      </c>
      <c r="F43" s="12">
        <f t="shared" si="7"/>
        <v>0.004784785025870755</v>
      </c>
      <c r="G43" s="12">
        <f t="shared" si="7"/>
        <v>0.004344521684514884</v>
      </c>
      <c r="H43" s="12">
        <f t="shared" si="7"/>
        <v>0.00652087205021214</v>
      </c>
    </row>
    <row r="44" spans="1:8" ht="11.25">
      <c r="A44" s="13" t="s">
        <v>38</v>
      </c>
      <c r="B44" s="7"/>
      <c r="C44" s="12">
        <f aca="true" t="shared" si="8" ref="C44:H44">C41/C11</f>
        <v>0.002897039657419475</v>
      </c>
      <c r="D44" s="12">
        <f t="shared" si="8"/>
        <v>0.004760427230643324</v>
      </c>
      <c r="E44" s="12">
        <f t="shared" si="8"/>
        <v>0.004919582165689216</v>
      </c>
      <c r="F44" s="12">
        <f t="shared" si="8"/>
        <v>0.004784785025870755</v>
      </c>
      <c r="G44" s="12">
        <f t="shared" si="8"/>
        <v>0.004344521684514884</v>
      </c>
      <c r="H44" s="12">
        <f t="shared" si="8"/>
        <v>0.00652087205021214</v>
      </c>
    </row>
    <row r="45" spans="1:8" ht="11.25">
      <c r="A45" s="7" t="s">
        <v>39</v>
      </c>
      <c r="B45" s="7"/>
      <c r="C45" s="12">
        <f>1227/C11</f>
        <v>0.0030459877117855146</v>
      </c>
      <c r="D45" s="12">
        <f>2085/D11</f>
        <v>0.004341859482017205</v>
      </c>
      <c r="E45" s="12">
        <f>2181/E11</f>
        <v>0.0045006747916812835</v>
      </c>
      <c r="F45" s="12">
        <f>2175/F11</f>
        <v>0.004365313519827555</v>
      </c>
      <c r="G45" s="12">
        <f>2235/G11</f>
        <v>0.004153124878054219</v>
      </c>
      <c r="H45" s="12">
        <f>2454/H11</f>
        <v>0.0026889968091447806</v>
      </c>
    </row>
    <row r="46" spans="1:8" ht="11.25">
      <c r="A46" s="3" t="s">
        <v>40</v>
      </c>
      <c r="B46" s="3"/>
      <c r="C46" s="14">
        <v>1.0513</v>
      </c>
      <c r="D46" s="14">
        <v>0.9122</v>
      </c>
      <c r="E46" s="14">
        <v>0.9148</v>
      </c>
      <c r="F46" s="14">
        <v>0.9124</v>
      </c>
      <c r="G46" s="14">
        <v>0.956</v>
      </c>
      <c r="H46" s="14">
        <v>0.4124</v>
      </c>
    </row>
    <row r="47" spans="1:8" ht="11.25">
      <c r="A47" s="5" t="s">
        <v>41</v>
      </c>
      <c r="B47" s="7"/>
      <c r="C47" s="7"/>
      <c r="D47" s="7"/>
      <c r="E47" s="7"/>
      <c r="F47" s="7"/>
      <c r="G47" s="7"/>
      <c r="H47" s="15"/>
    </row>
    <row r="48" spans="1:8" ht="11.25">
      <c r="A48" s="7" t="s">
        <v>42</v>
      </c>
      <c r="B48" s="7"/>
      <c r="C48" s="12">
        <f>+C29/C25</f>
        <v>0.014092830852280969</v>
      </c>
      <c r="D48" s="12">
        <f>+D29/D25</f>
        <v>0.00908245095410981</v>
      </c>
      <c r="E48" s="12">
        <f>+E29/E25</f>
        <v>0.0065900186662264755</v>
      </c>
      <c r="F48" s="12">
        <f>+F29/F25</f>
        <v>0.0039508262633229955</v>
      </c>
      <c r="G48" s="12">
        <f>+G29/G25</f>
        <v>0.01005783267564082</v>
      </c>
      <c r="H48" s="10" t="s">
        <v>22</v>
      </c>
    </row>
    <row r="49" spans="1:8" ht="11.25">
      <c r="A49" s="3" t="s">
        <v>43</v>
      </c>
      <c r="B49" s="3"/>
      <c r="C49" s="14">
        <f>+C29/C26</f>
        <v>0.0324640526327971</v>
      </c>
      <c r="D49" s="14">
        <f>+D29/D26</f>
        <v>0.02049663426398649</v>
      </c>
      <c r="E49" s="14">
        <f>+E29/E26</f>
        <v>0.011177016484133365</v>
      </c>
      <c r="F49" s="14">
        <f>+F29/F26</f>
        <v>0.007201675555102748</v>
      </c>
      <c r="G49" s="14">
        <f>+G29/G26</f>
        <v>0.015862897566423114</v>
      </c>
      <c r="H49" s="11" t="s">
        <v>22</v>
      </c>
    </row>
    <row r="50" spans="1:8" ht="11.25">
      <c r="A50" s="5" t="s">
        <v>44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45</v>
      </c>
      <c r="B51" s="7"/>
      <c r="C51" s="12">
        <f aca="true" t="shared" si="9" ref="C51:H51">C10/C15</f>
        <v>0.7283159404569383</v>
      </c>
      <c r="D51" s="12">
        <f t="shared" si="9"/>
        <v>0.6697927930985991</v>
      </c>
      <c r="E51" s="12">
        <f t="shared" si="9"/>
        <v>0.5580437072765151</v>
      </c>
      <c r="F51" s="12">
        <f t="shared" si="9"/>
        <v>0.6222590990806675</v>
      </c>
      <c r="G51" s="12">
        <f t="shared" si="9"/>
        <v>0.5252384471707494</v>
      </c>
      <c r="H51" s="12">
        <f t="shared" si="9"/>
        <v>0.20894315038492955</v>
      </c>
    </row>
    <row r="52" spans="1:8" ht="11.25">
      <c r="A52" s="7" t="s">
        <v>46</v>
      </c>
      <c r="B52" s="7"/>
      <c r="C52" s="12">
        <f aca="true" t="shared" si="10" ref="C52:H52">C10/C9</f>
        <v>0.6154819115471472</v>
      </c>
      <c r="D52" s="12">
        <f t="shared" si="10"/>
        <v>0.6266946399468605</v>
      </c>
      <c r="E52" s="12">
        <f t="shared" si="10"/>
        <v>0.5111623285407594</v>
      </c>
      <c r="F52" s="12">
        <f t="shared" si="10"/>
        <v>0.5881626185125831</v>
      </c>
      <c r="G52" s="12">
        <f t="shared" si="10"/>
        <v>0.4970521018302859</v>
      </c>
      <c r="H52" s="12">
        <f t="shared" si="10"/>
        <v>0.190971320580513</v>
      </c>
    </row>
    <row r="53" spans="1:8" ht="11.25">
      <c r="A53" s="3" t="s">
        <v>47</v>
      </c>
      <c r="B53" s="3"/>
      <c r="C53" s="14">
        <f aca="true" t="shared" si="11" ref="C53:H53">(C10+C14)/C15</f>
        <v>0.9207183811838192</v>
      </c>
      <c r="D53" s="14">
        <f t="shared" si="11"/>
        <v>0.8274130899674618</v>
      </c>
      <c r="E53" s="14">
        <f t="shared" si="11"/>
        <v>0.7984608916246616</v>
      </c>
      <c r="F53" s="14">
        <f t="shared" si="11"/>
        <v>0.8150148801912545</v>
      </c>
      <c r="G53" s="14">
        <f t="shared" si="11"/>
        <v>0.7577521869415069</v>
      </c>
      <c r="H53" s="14">
        <f t="shared" si="11"/>
        <v>0.4838471646219956</v>
      </c>
    </row>
    <row r="54" spans="1:8" ht="11.25">
      <c r="A54" s="5" t="s">
        <v>48</v>
      </c>
      <c r="B54" s="7"/>
      <c r="C54" s="7"/>
      <c r="D54" s="7"/>
      <c r="E54" s="7"/>
      <c r="F54" s="7"/>
      <c r="G54" s="7"/>
      <c r="H54" s="15"/>
    </row>
    <row r="55" spans="1:8" ht="11.25">
      <c r="A55" s="7" t="s">
        <v>49</v>
      </c>
      <c r="B55" s="7"/>
      <c r="C55" s="16">
        <f>C38/C26</f>
        <v>0.036541717580605246</v>
      </c>
      <c r="D55" s="16">
        <f>(D38/0.75)/D26</f>
        <v>0.017297975995919326</v>
      </c>
      <c r="E55" s="16">
        <f>(E38/0.5)/E26</f>
        <v>0.02141227197943664</v>
      </c>
      <c r="F55" s="12">
        <f>((F38)/0.25)/F26</f>
        <v>0.02161958119573449</v>
      </c>
      <c r="G55" s="12">
        <f>G38/G26</f>
        <v>0.0154831196539415</v>
      </c>
      <c r="H55" s="17" t="s">
        <v>50</v>
      </c>
    </row>
    <row r="56" spans="1:8" ht="11.25">
      <c r="A56" s="7" t="s">
        <v>51</v>
      </c>
      <c r="B56" s="7"/>
      <c r="C56" s="16">
        <f>C38/C25</f>
        <v>0.015862968519063825</v>
      </c>
      <c r="D56" s="16">
        <f>(D38/0.75)/D25</f>
        <v>0.007665064252249061</v>
      </c>
      <c r="E56" s="16">
        <f>(E38/0.5)/E25</f>
        <v>0.012624770861805404</v>
      </c>
      <c r="F56" s="12">
        <f>((F38)/0.25)/F25</f>
        <v>0.011860463379196643</v>
      </c>
      <c r="G56" s="12">
        <f>G38/G25</f>
        <v>0.009817035388660321</v>
      </c>
      <c r="H56" s="17" t="s">
        <v>50</v>
      </c>
    </row>
    <row r="57" spans="1:8" ht="11.25">
      <c r="A57" s="7" t="s">
        <v>52</v>
      </c>
      <c r="B57" s="7"/>
      <c r="C57" s="16">
        <f>+C38/C29</f>
        <v>1.125605542657624</v>
      </c>
      <c r="D57" s="16">
        <f>(D38/0.75)/D29</f>
        <v>0.8439422674537668</v>
      </c>
      <c r="E57" s="16">
        <f>(E38/0.5)/E29</f>
        <v>1.915741290158515</v>
      </c>
      <c r="F57" s="12">
        <f>((F38)/0.25)/F29</f>
        <v>3.0020209922419974</v>
      </c>
      <c r="G57" s="12">
        <f>G38/G29</f>
        <v>0.976058730071769</v>
      </c>
      <c r="H57" s="17" t="s">
        <v>50</v>
      </c>
    </row>
    <row r="58" spans="1:8" ht="11.25">
      <c r="A58" s="7" t="s">
        <v>53</v>
      </c>
      <c r="B58" s="7"/>
      <c r="C58" s="16">
        <f>C31/C25</f>
        <v>0.06108894252630152</v>
      </c>
      <c r="D58" s="16">
        <f>(D31/0.75)/D25</f>
        <v>0.054260348067216496</v>
      </c>
      <c r="E58" s="16">
        <f>(E31/0.5)/E25</f>
        <v>0.06185579104104922</v>
      </c>
      <c r="F58" s="12">
        <f>((F31)/0.25)/F25</f>
        <v>0.056353685364428245</v>
      </c>
      <c r="G58" s="12">
        <f>G31/G25</f>
        <v>0.04636587577339598</v>
      </c>
      <c r="H58" s="17" t="s">
        <v>50</v>
      </c>
    </row>
    <row r="59" spans="1:8" ht="11.25">
      <c r="A59" s="7" t="s">
        <v>54</v>
      </c>
      <c r="B59" s="7"/>
      <c r="C59" s="16">
        <f>C32/C25</f>
        <v>0.0500512801488245</v>
      </c>
      <c r="D59" s="16">
        <f>(D32/0.75)/D25</f>
        <v>0.045822178499181</v>
      </c>
      <c r="E59" s="16">
        <f>(E32/0.5)/E25</f>
        <v>0.05224979282248259</v>
      </c>
      <c r="F59" s="12">
        <f>((F32)/0.25)/F25</f>
        <v>0.0464692790353792</v>
      </c>
      <c r="G59" s="12">
        <f>G32/G25</f>
        <v>0.036034184398374594</v>
      </c>
      <c r="H59" s="17" t="s">
        <v>50</v>
      </c>
    </row>
    <row r="60" spans="1:8" ht="11.25">
      <c r="A60" s="7" t="s">
        <v>55</v>
      </c>
      <c r="B60" s="7"/>
      <c r="C60" s="16">
        <f>C33/C25</f>
        <v>0.011037662377477027</v>
      </c>
      <c r="D60" s="16">
        <f>(D33/0.75)/D25</f>
        <v>0.008438169568035492</v>
      </c>
      <c r="E60" s="16">
        <f>(E33/0.5)/E25</f>
        <v>0.009605998218566624</v>
      </c>
      <c r="F60" s="12">
        <f>((F33)/0.25)/F25</f>
        <v>0.009884406329049043</v>
      </c>
      <c r="G60" s="12">
        <f>G33/G25</f>
        <v>0.010331691375021386</v>
      </c>
      <c r="H60" s="17" t="s">
        <v>50</v>
      </c>
    </row>
    <row r="61" spans="1:8" ht="11.25">
      <c r="A61" s="7" t="s">
        <v>56</v>
      </c>
      <c r="B61" s="7"/>
      <c r="C61" s="16">
        <f>C36/C35</f>
        <v>0.09012444207974935</v>
      </c>
      <c r="D61" s="16">
        <f>(D36/0.75)/(D35/0.75)</f>
        <v>0.33761132931349225</v>
      </c>
      <c r="E61" s="16">
        <f>(E36/0.5)/(E35/0.5)</f>
        <v>0.14205451370435046</v>
      </c>
      <c r="F61" s="12">
        <f>(F36/0.25)/(F35/0.25)</f>
        <v>0.24915210018262457</v>
      </c>
      <c r="G61" s="12">
        <f>G36/G35</f>
        <v>0.4444825543325746</v>
      </c>
      <c r="H61" s="18">
        <f>H36/H35</f>
        <v>0.40443730236898034</v>
      </c>
    </row>
    <row r="62" spans="1:8" ht="11.25">
      <c r="A62" s="3" t="s">
        <v>57</v>
      </c>
      <c r="B62" s="3"/>
      <c r="C62" s="19">
        <f>C34/C25</f>
        <v>0.006393723855947738</v>
      </c>
      <c r="D62" s="19">
        <f>(D34/0.75)/D25</f>
        <v>0.0032567465771287793</v>
      </c>
      <c r="E62" s="19">
        <f>(E34/0.5)/E25</f>
        <v>0.005109121871773107</v>
      </c>
      <c r="F62" s="14">
        <f>(F34/0.25)/F25</f>
        <v>0.005911686837198604</v>
      </c>
      <c r="G62" s="14">
        <f>G34/G25</f>
        <v>0.007340184576355194</v>
      </c>
      <c r="H62" s="20" t="s">
        <v>50</v>
      </c>
    </row>
    <row r="63" spans="1:8" ht="11.25">
      <c r="A63" s="5" t="s">
        <v>58</v>
      </c>
      <c r="B63" s="7"/>
      <c r="C63" s="15"/>
      <c r="D63" s="7"/>
      <c r="E63" s="7"/>
      <c r="F63" s="7"/>
      <c r="G63" s="7"/>
      <c r="H63" s="7"/>
    </row>
    <row r="64" spans="1:8" ht="11.25">
      <c r="A64" s="7" t="s">
        <v>59</v>
      </c>
      <c r="B64" s="7"/>
      <c r="C64" s="8">
        <v>124</v>
      </c>
      <c r="D64" s="8">
        <v>122</v>
      </c>
      <c r="E64" s="8">
        <v>113</v>
      </c>
      <c r="F64" s="8">
        <v>122</v>
      </c>
      <c r="G64" s="8">
        <v>118</v>
      </c>
      <c r="H64" s="8">
        <v>109</v>
      </c>
    </row>
    <row r="65" spans="1:8" ht="11.25">
      <c r="A65" s="7" t="s">
        <v>60</v>
      </c>
      <c r="B65" s="7"/>
      <c r="C65" s="8">
        <v>1</v>
      </c>
      <c r="D65" s="8">
        <v>1</v>
      </c>
      <c r="E65" s="8">
        <v>1</v>
      </c>
      <c r="F65" s="8">
        <v>1</v>
      </c>
      <c r="G65" s="8">
        <v>1</v>
      </c>
      <c r="H65" s="8">
        <v>1</v>
      </c>
    </row>
    <row r="66" spans="1:8" ht="11.25">
      <c r="A66" s="7" t="s">
        <v>61</v>
      </c>
      <c r="B66" s="7"/>
      <c r="C66" s="21">
        <f aca="true" t="shared" si="12" ref="C66:H66">C11/C64</f>
        <v>3248.5887096774195</v>
      </c>
      <c r="D66" s="21">
        <f t="shared" si="12"/>
        <v>3936.1393442622953</v>
      </c>
      <c r="E66" s="21">
        <f t="shared" si="12"/>
        <v>4288.442477876106</v>
      </c>
      <c r="F66" s="21">
        <f t="shared" si="12"/>
        <v>4083.9836065573772</v>
      </c>
      <c r="G66" s="21">
        <f t="shared" si="12"/>
        <v>4560.5847457627115</v>
      </c>
      <c r="H66" s="21">
        <f t="shared" si="12"/>
        <v>8372.550458715596</v>
      </c>
    </row>
    <row r="67" spans="1:8" ht="11.25">
      <c r="A67" s="7" t="s">
        <v>62</v>
      </c>
      <c r="B67" s="7"/>
      <c r="C67" s="21">
        <f aca="true" t="shared" si="13" ref="C67:H67">C15/C64</f>
        <v>13055.338709677419</v>
      </c>
      <c r="D67" s="21">
        <f t="shared" si="13"/>
        <v>16903.196721311477</v>
      </c>
      <c r="E67" s="21">
        <f t="shared" si="13"/>
        <v>14986.265486725664</v>
      </c>
      <c r="F67" s="21">
        <f t="shared" si="13"/>
        <v>17307.639344262294</v>
      </c>
      <c r="G67" s="21">
        <f t="shared" si="13"/>
        <v>15766.737288135593</v>
      </c>
      <c r="H67" s="21">
        <f t="shared" si="13"/>
        <v>13949.88990825688</v>
      </c>
    </row>
    <row r="68" spans="1:8" ht="11.25">
      <c r="A68" s="3" t="s">
        <v>63</v>
      </c>
      <c r="B68" s="3"/>
      <c r="C68" s="22">
        <f aca="true" t="shared" si="14" ref="C68:H68">C38/C64</f>
        <v>248.28225806451613</v>
      </c>
      <c r="D68" s="22">
        <f t="shared" si="14"/>
        <v>97.11475409836065</v>
      </c>
      <c r="E68" s="22">
        <f t="shared" si="14"/>
        <v>100</v>
      </c>
      <c r="F68" s="22">
        <f t="shared" si="14"/>
        <v>47.18032786885246</v>
      </c>
      <c r="G68" s="22">
        <f t="shared" si="14"/>
        <v>150.98305084745763</v>
      </c>
      <c r="H68" s="22">
        <f t="shared" si="14"/>
        <v>105.39449541284404</v>
      </c>
    </row>
    <row r="69" spans="1:8" ht="11.25">
      <c r="A69" s="5" t="s">
        <v>64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65</v>
      </c>
      <c r="B70" s="7"/>
      <c r="C70" s="12">
        <f>+(C9/G9)-1</f>
        <v>-0.02560304622078491</v>
      </c>
      <c r="D70" s="12">
        <f>+(D9/1917897)-1</f>
        <v>0.14917954405267864</v>
      </c>
      <c r="E70" s="12">
        <f>+(E9/1731500)-1</f>
        <v>0.06772336124747325</v>
      </c>
      <c r="F70" s="12">
        <f>+(F9/1648539)-1</f>
        <v>0.3551029123363172</v>
      </c>
      <c r="G70" s="12">
        <f>+(G9/H9)-1</f>
        <v>0.18173790838358483</v>
      </c>
      <c r="H70" s="23" t="s">
        <v>22</v>
      </c>
    </row>
    <row r="71" spans="1:8" ht="11.25">
      <c r="A71" s="7" t="s">
        <v>66</v>
      </c>
      <c r="B71" s="7"/>
      <c r="C71" s="12">
        <f>SUM(C72:C73)</f>
        <v>-0.25146195570371777</v>
      </c>
      <c r="D71" s="12">
        <f>SUM(D72:D73)</f>
        <v>-0.11305149265723091</v>
      </c>
      <c r="E71" s="12">
        <f>SUM(E72:E73)</f>
        <v>-0.353087158100461</v>
      </c>
      <c r="F71" s="12">
        <f>SUM(F72:F73)</f>
        <v>-0.40895033719461205</v>
      </c>
      <c r="G71" s="12">
        <f>SUM(G72:G73)</f>
        <v>-0.4103174637960658</v>
      </c>
      <c r="H71" s="23" t="s">
        <v>22</v>
      </c>
    </row>
    <row r="72" spans="1:8" ht="11.25">
      <c r="A72" s="7"/>
      <c r="B72" s="7" t="s">
        <v>13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23" t="s">
        <v>22</v>
      </c>
    </row>
    <row r="73" spans="1:8" ht="11.25">
      <c r="A73" s="7"/>
      <c r="B73" s="7" t="s">
        <v>14</v>
      </c>
      <c r="C73" s="12">
        <f>+(C13/G13)-1</f>
        <v>-0.25146195570371777</v>
      </c>
      <c r="D73" s="12">
        <f>+(D13/541417)-1</f>
        <v>-0.11305149265723091</v>
      </c>
      <c r="E73" s="12">
        <f>+(E13/749087)-1</f>
        <v>-0.353087158100461</v>
      </c>
      <c r="F73" s="12">
        <f>+(F13/842985)-1</f>
        <v>-0.40895033719461205</v>
      </c>
      <c r="G73" s="12">
        <f>+(G13/H13)-1</f>
        <v>-0.4103174637960658</v>
      </c>
      <c r="H73" s="23" t="s">
        <v>22</v>
      </c>
    </row>
    <row r="74" spans="1:8" ht="11.25">
      <c r="A74" s="7" t="s">
        <v>67</v>
      </c>
      <c r="B74" s="7"/>
      <c r="C74" s="12">
        <f>SUM(C75:C76)</f>
        <v>-0.1298662975852941</v>
      </c>
      <c r="D74" s="12">
        <f>SUM(D75:D76)</f>
        <v>0.14555864725432888</v>
      </c>
      <c r="E74" s="12">
        <f>SUM(E75:E76)</f>
        <v>-0.008616258607184513</v>
      </c>
      <c r="F74" s="12">
        <f>SUM(F75:F76)</f>
        <v>0.4981046053513769</v>
      </c>
      <c r="G74" s="12">
        <f>SUM(G75:G76)</f>
        <v>0.22356363339817875</v>
      </c>
      <c r="H74" s="23" t="s">
        <v>22</v>
      </c>
    </row>
    <row r="75" spans="1:8" ht="11.25">
      <c r="A75" s="7"/>
      <c r="B75" s="7" t="s">
        <v>13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23" t="s">
        <v>22</v>
      </c>
    </row>
    <row r="76" spans="1:8" ht="11.25">
      <c r="A76" s="7"/>
      <c r="B76" s="7" t="s">
        <v>14</v>
      </c>
      <c r="C76" s="12">
        <f>+(C20/G20)-1</f>
        <v>-0.1298662975852941</v>
      </c>
      <c r="D76" s="12">
        <f>+(D20/1800161)-1</f>
        <v>0.14555864725432888</v>
      </c>
      <c r="E76" s="12">
        <f>+(E20/1708166)-1</f>
        <v>-0.008616258607184513</v>
      </c>
      <c r="F76" s="12">
        <f>+(F20/1409469)-1</f>
        <v>0.4981046053513769</v>
      </c>
      <c r="G76" s="12">
        <f>+(G20/H20)-1</f>
        <v>0.22356363339817875</v>
      </c>
      <c r="H76" s="23" t="s">
        <v>22</v>
      </c>
    </row>
    <row r="77" spans="1:8" ht="11.25">
      <c r="A77" s="7" t="s">
        <v>68</v>
      </c>
      <c r="B77" s="7"/>
      <c r="C77" s="18">
        <f>+(C23/G23)-1</f>
        <v>0.614991156365027</v>
      </c>
      <c r="D77" s="18">
        <f>+(D23/22591)-1</f>
        <v>-0.342835642512505</v>
      </c>
      <c r="E77" s="18">
        <f>+(E23/9294)-1</f>
        <v>0.5386270712287498</v>
      </c>
      <c r="F77" s="18">
        <f>+(F23/6583)-1</f>
        <v>0.33009266291964146</v>
      </c>
      <c r="G77" s="18">
        <f>+(G23/H23)-1</f>
        <v>0.34207993841021356</v>
      </c>
      <c r="H77" s="23" t="s">
        <v>22</v>
      </c>
    </row>
    <row r="78" spans="1:8" ht="11.25">
      <c r="A78" s="3" t="s">
        <v>69</v>
      </c>
      <c r="B78" s="3"/>
      <c r="C78" s="14">
        <f>+(C38/G38)-1</f>
        <v>0.7280534351145038</v>
      </c>
      <c r="D78" s="14">
        <f>+(D38/13298)-1</f>
        <v>-0.10903895322604906</v>
      </c>
      <c r="E78" s="14">
        <f>+(E38/6194)-1</f>
        <v>0.8243461414271875</v>
      </c>
      <c r="F78" s="14">
        <f>+(F38/3584)-1</f>
        <v>0.6060267857142858</v>
      </c>
      <c r="G78" s="14">
        <f>+(G38/H38)-1</f>
        <v>0.5508356545961002</v>
      </c>
      <c r="H78" s="24" t="s">
        <v>22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2002-05-02T20:10:17Z</cp:lastPrinted>
  <dcterms:created xsi:type="dcterms:W3CDTF">2002-03-08T15:49:33Z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