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Popular" sheetId="1" r:id="rId1"/>
  </sheets>
  <definedNames>
    <definedName name="_xlnm.Print_Area" localSheetId="0">'Popular'!$A$1:$H$78</definedName>
  </definedNames>
  <calcPr fullCalcOnLoad="1"/>
</workbook>
</file>

<file path=xl/sharedStrings.xml><?xml version="1.0" encoding="utf-8"?>
<sst xmlns="http://schemas.openxmlformats.org/spreadsheetml/2006/main" count="80" uniqueCount="68">
  <si>
    <t>CUADRO No. 19-20     POPULAR BANK &amp; TRUST LTD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</si>
  <si>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</si>
  <si>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</si>
  <si>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</si>
  <si>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</si>
  <si>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</si>
  <si>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</si>
  <si>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</si>
  <si>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</si>
  <si>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</si>
  <si>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</si>
  <si>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</si>
  <si>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</si>
  <si>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</si>
  <si>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</si>
  <si>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</si>
  <si>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</si>
  <si>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</si>
  <si>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</si>
  <si>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</si>
  <si>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</si>
  <si>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</si>
  <si>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</si>
  <si>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</si>
  <si>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</si>
  <si>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</si>
  <si>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</si>
  <si>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</si>
  <si>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</si>
  <si>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</si>
  <si>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</si>
  <si>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</si>
  <si>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</si>
  <si>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</si>
  <si>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</si>
  <si>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</si>
  <si>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</si>
  <si>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</si>
  <si>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</si>
  <si>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</si>
  <si>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</si>
  <si>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Total de activos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</si>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</sst>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36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</numFmts>
  <fonts count="6">
    <font>
      <sz val="10"/>
      <name val="Arial"/>
      <family val="0"/>
    </font>
    <font>
      <b/>
      <sz val="7"/>
      <name val="Arial Narrow"/>
      <family val="2"/>
    </font>
    <font>
      <sz val="7"/>
      <name val="Arial"/>
      <family val="0"/>
    </font>
    <font>
      <sz val="7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179" fontId="4" fillId="0" borderId="0" xfId="15" applyNumberFormat="1" applyFont="1" applyAlignment="1">
      <alignment/>
    </xf>
    <xf numFmtId="0" fontId="5" fillId="0" borderId="0" xfId="0" applyFont="1" applyAlignment="1">
      <alignment/>
    </xf>
    <xf numFmtId="179" fontId="5" fillId="0" borderId="0" xfId="15" applyNumberFormat="1" applyFont="1" applyAlignment="1">
      <alignment/>
    </xf>
    <xf numFmtId="179" fontId="5" fillId="0" borderId="1" xfId="15" applyNumberFormat="1" applyFont="1" applyBorder="1" applyAlignment="1">
      <alignment/>
    </xf>
    <xf numFmtId="10" fontId="5" fillId="0" borderId="0" xfId="19" applyNumberFormat="1" applyFont="1" applyAlignment="1">
      <alignment/>
    </xf>
    <xf numFmtId="0" fontId="5" fillId="0" borderId="0" xfId="0" applyFont="1" applyBorder="1" applyAlignment="1">
      <alignment/>
    </xf>
    <xf numFmtId="10" fontId="5" fillId="0" borderId="1" xfId="19" applyNumberFormat="1" applyFont="1" applyBorder="1" applyAlignment="1">
      <alignment/>
    </xf>
    <xf numFmtId="10" fontId="5" fillId="0" borderId="0" xfId="19" applyNumberFormat="1" applyFont="1" applyFill="1" applyAlignment="1">
      <alignment/>
    </xf>
    <xf numFmtId="10" fontId="5" fillId="0" borderId="1" xfId="19" applyNumberFormat="1" applyFont="1" applyFill="1" applyBorder="1" applyAlignment="1">
      <alignment/>
    </xf>
    <xf numFmtId="10" fontId="5" fillId="0" borderId="0" xfId="19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5" sqref="C5"/>
    </sheetView>
  </sheetViews>
  <sheetFormatPr defaultColWidth="11.421875" defaultRowHeight="12.75"/>
  <cols>
    <col min="1" max="1" width="3.57421875" style="2" customWidth="1"/>
    <col min="2" max="2" width="35.28125" style="2" customWidth="1"/>
    <col min="3" max="3" width="11.421875" style="2" customWidth="1"/>
    <col min="4" max="4" width="9.57421875" style="2" customWidth="1"/>
    <col min="5" max="5" width="9.28125" style="2" customWidth="1"/>
    <col min="6" max="6" width="9.421875" style="2" customWidth="1"/>
    <col min="7" max="16384" width="11.421875" style="2" customWidth="1"/>
  </cols>
  <sheetData>
    <row r="1" spans="2:8" ht="11.25">
      <c r="B1" s="1"/>
      <c r="C1" s="1"/>
      <c r="D1" s="1"/>
      <c r="E1" s="1"/>
      <c r="F1" s="1"/>
      <c r="G1" s="1"/>
      <c r="H1" s="1"/>
    </row>
    <row r="2" spans="2:8" ht="11.25">
      <c r="B2" s="17"/>
      <c r="C2" s="17"/>
      <c r="D2" s="17"/>
      <c r="E2" s="17"/>
      <c r="F2" s="1" t="s">
        <v>0</v>
      </c>
      <c r="G2" s="17"/>
      <c r="H2" s="17"/>
    </row>
    <row r="3" spans="2:8" ht="11.25">
      <c r="B3" s="18"/>
      <c r="C3" s="18"/>
      <c r="D3" s="18"/>
      <c r="E3" s="18"/>
      <c r="F3" s="17" t="s">
        <v>1</v>
      </c>
      <c r="G3" s="18"/>
      <c r="H3" s="18"/>
    </row>
    <row r="4" spans="1:8" ht="11.25">
      <c r="A4" s="18"/>
      <c r="B4" s="18"/>
      <c r="C4" s="18"/>
      <c r="D4" s="18"/>
      <c r="E4" s="18"/>
      <c r="F4" s="18" t="s">
        <v>2</v>
      </c>
      <c r="G4" s="18"/>
      <c r="H4" s="18"/>
    </row>
    <row r="5" spans="1:8" ht="11.25">
      <c r="A5" s="18"/>
      <c r="B5" s="18"/>
      <c r="C5" s="18"/>
      <c r="D5" s="18"/>
      <c r="E5" s="18"/>
      <c r="F5" s="18"/>
      <c r="G5" s="18"/>
      <c r="H5" s="18"/>
    </row>
    <row r="6" spans="1:8" ht="11.25">
      <c r="A6" s="4"/>
      <c r="B6" s="4"/>
      <c r="C6" s="4"/>
      <c r="D6" s="4"/>
      <c r="E6" s="4"/>
      <c r="F6" s="4"/>
      <c r="G6" s="4"/>
      <c r="H6" s="4"/>
    </row>
    <row r="7" spans="1:8" ht="11.25">
      <c r="A7" s="5"/>
      <c r="B7" s="5"/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</row>
    <row r="8" spans="1:8" ht="11.25">
      <c r="A8" s="6" t="s">
        <v>9</v>
      </c>
      <c r="B8" s="6"/>
      <c r="C8" s="7"/>
      <c r="D8" s="7"/>
      <c r="E8" s="7"/>
      <c r="F8" s="7"/>
      <c r="G8" s="7"/>
      <c r="H8" s="7"/>
    </row>
    <row r="9" spans="1:8" ht="11.25">
      <c r="A9" s="8" t="s">
        <v>10</v>
      </c>
      <c r="B9" s="8"/>
      <c r="C9" s="9">
        <v>344372</v>
      </c>
      <c r="D9" s="9">
        <v>259439</v>
      </c>
      <c r="E9" s="9">
        <v>244524</v>
      </c>
      <c r="F9" s="9">
        <v>225605</v>
      </c>
      <c r="G9" s="9">
        <v>195721</v>
      </c>
      <c r="H9" s="9">
        <v>176929</v>
      </c>
    </row>
    <row r="10" spans="1:8" ht="11.25">
      <c r="A10" s="8" t="s">
        <v>11</v>
      </c>
      <c r="B10" s="8"/>
      <c r="C10" s="9">
        <v>28255</v>
      </c>
      <c r="D10" s="9">
        <v>15428</v>
      </c>
      <c r="E10" s="9">
        <v>35819</v>
      </c>
      <c r="F10" s="9">
        <v>26854</v>
      </c>
      <c r="G10" s="9">
        <v>20615</v>
      </c>
      <c r="H10" s="9">
        <v>23580</v>
      </c>
    </row>
    <row r="11" spans="1:8" ht="11.25">
      <c r="A11" s="8" t="s">
        <v>12</v>
      </c>
      <c r="B11" s="8"/>
      <c r="C11" s="9">
        <f aca="true" t="shared" si="0" ref="C11:H11">C12+C13</f>
        <v>306397</v>
      </c>
      <c r="D11" s="9">
        <f t="shared" si="0"/>
        <v>229488</v>
      </c>
      <c r="E11" s="9">
        <f t="shared" si="0"/>
        <v>199592</v>
      </c>
      <c r="F11" s="9">
        <f t="shared" si="0"/>
        <v>187698</v>
      </c>
      <c r="G11" s="9">
        <f t="shared" si="0"/>
        <v>165817</v>
      </c>
      <c r="H11" s="9">
        <f t="shared" si="0"/>
        <v>144957</v>
      </c>
    </row>
    <row r="12" spans="1:8" ht="11.25">
      <c r="A12" s="8"/>
      <c r="B12" s="8" t="s">
        <v>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1.25">
      <c r="A13" s="8"/>
      <c r="B13" s="8" t="s">
        <v>14</v>
      </c>
      <c r="C13" s="9">
        <v>306397</v>
      </c>
      <c r="D13" s="9">
        <v>229488</v>
      </c>
      <c r="E13" s="9">
        <v>199592</v>
      </c>
      <c r="F13" s="9">
        <v>187698</v>
      </c>
      <c r="G13" s="9">
        <v>165817</v>
      </c>
      <c r="H13" s="9">
        <v>144957</v>
      </c>
    </row>
    <row r="14" spans="1:8" ht="11.25">
      <c r="A14" s="8" t="s">
        <v>15</v>
      </c>
      <c r="B14" s="8"/>
      <c r="C14" s="9">
        <v>1244</v>
      </c>
      <c r="D14" s="9">
        <v>1069</v>
      </c>
      <c r="E14" s="9">
        <v>1656</v>
      </c>
      <c r="F14" s="9">
        <v>1666</v>
      </c>
      <c r="G14" s="9">
        <v>1661</v>
      </c>
      <c r="H14" s="9">
        <v>5727</v>
      </c>
    </row>
    <row r="15" spans="1:8" ht="11.25">
      <c r="A15" s="8" t="s">
        <v>16</v>
      </c>
      <c r="B15" s="8"/>
      <c r="C15" s="9">
        <f aca="true" t="shared" si="1" ref="C15:H15">C16+C20</f>
        <v>272855</v>
      </c>
      <c r="D15" s="9">
        <f t="shared" si="1"/>
        <v>205326</v>
      </c>
      <c r="E15" s="9">
        <f t="shared" si="1"/>
        <v>181877</v>
      </c>
      <c r="F15" s="9">
        <f t="shared" si="1"/>
        <v>166965</v>
      </c>
      <c r="G15" s="9">
        <f t="shared" si="1"/>
        <v>147494</v>
      </c>
      <c r="H15" s="9">
        <f t="shared" si="1"/>
        <v>129652</v>
      </c>
    </row>
    <row r="16" spans="1:8" ht="11.25">
      <c r="A16" s="8"/>
      <c r="B16" s="8" t="s">
        <v>13</v>
      </c>
      <c r="C16" s="9">
        <f aca="true" t="shared" si="2" ref="C16:H16">SUM(C17:C19)</f>
        <v>0</v>
      </c>
      <c r="D16" s="9">
        <f t="shared" si="2"/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</row>
    <row r="17" spans="1:8" ht="11.25">
      <c r="A17" s="8"/>
      <c r="B17" s="8" t="s">
        <v>17</v>
      </c>
      <c r="C17" s="9">
        <v>0</v>
      </c>
      <c r="D17" s="9">
        <v>0</v>
      </c>
      <c r="E17" s="9">
        <v>0</v>
      </c>
      <c r="F17" s="9"/>
      <c r="G17" s="9">
        <v>0</v>
      </c>
      <c r="H17" s="9">
        <v>0</v>
      </c>
    </row>
    <row r="18" spans="1:8" ht="11.25">
      <c r="A18" s="8"/>
      <c r="B18" s="8" t="s">
        <v>18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1.25">
      <c r="A19" s="8"/>
      <c r="B19" s="8" t="s">
        <v>19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1.25">
      <c r="A20" s="8"/>
      <c r="B20" s="8" t="s">
        <v>14</v>
      </c>
      <c r="C20" s="9">
        <f aca="true" t="shared" si="3" ref="C20:H20">SUM(C21:C22)</f>
        <v>272855</v>
      </c>
      <c r="D20" s="9">
        <f t="shared" si="3"/>
        <v>205326</v>
      </c>
      <c r="E20" s="9">
        <f t="shared" si="3"/>
        <v>181877</v>
      </c>
      <c r="F20" s="9">
        <f t="shared" si="3"/>
        <v>166965</v>
      </c>
      <c r="G20" s="9">
        <f t="shared" si="3"/>
        <v>147494</v>
      </c>
      <c r="H20" s="9">
        <f t="shared" si="3"/>
        <v>129652</v>
      </c>
    </row>
    <row r="21" spans="1:8" ht="11.25">
      <c r="A21" s="8"/>
      <c r="B21" s="8" t="s">
        <v>18</v>
      </c>
      <c r="C21" s="9">
        <f>24774+200552</f>
        <v>225326</v>
      </c>
      <c r="D21" s="9">
        <v>180619</v>
      </c>
      <c r="E21" s="9">
        <v>155911</v>
      </c>
      <c r="F21" s="9">
        <v>141056</v>
      </c>
      <c r="G21" s="9">
        <v>135430</v>
      </c>
      <c r="H21" s="9">
        <v>118566</v>
      </c>
    </row>
    <row r="22" spans="1:8" ht="11.25">
      <c r="A22" s="8"/>
      <c r="B22" s="8" t="s">
        <v>19</v>
      </c>
      <c r="C22" s="9">
        <f>41709+5820</f>
        <v>47529</v>
      </c>
      <c r="D22" s="9">
        <v>24707</v>
      </c>
      <c r="E22" s="9">
        <v>25966</v>
      </c>
      <c r="F22" s="9">
        <v>25909</v>
      </c>
      <c r="G22" s="9">
        <v>12064</v>
      </c>
      <c r="H22" s="9">
        <v>11086</v>
      </c>
    </row>
    <row r="23" spans="1:8" ht="11.25">
      <c r="A23" s="4" t="s">
        <v>20</v>
      </c>
      <c r="B23" s="4"/>
      <c r="C23" s="10">
        <v>20816</v>
      </c>
      <c r="D23" s="10">
        <v>14066</v>
      </c>
      <c r="E23" s="10">
        <v>15043</v>
      </c>
      <c r="F23" s="10">
        <v>13585</v>
      </c>
      <c r="G23" s="10">
        <v>12357</v>
      </c>
      <c r="H23" s="10">
        <v>10019</v>
      </c>
    </row>
    <row r="24" spans="1:8" ht="11.25">
      <c r="A24" s="6" t="s">
        <v>21</v>
      </c>
      <c r="B24" s="8"/>
      <c r="C24" s="9"/>
      <c r="D24" s="9"/>
      <c r="E24" s="9"/>
      <c r="F24" s="9"/>
      <c r="G24" s="9"/>
      <c r="H24" s="9"/>
    </row>
    <row r="25" spans="1:8" ht="11.25">
      <c r="A25" s="8" t="s">
        <v>10</v>
      </c>
      <c r="B25" s="8"/>
      <c r="C25" s="9">
        <f>+(C9+G9)/2</f>
        <v>270046.5</v>
      </c>
      <c r="D25" s="9">
        <f>+(173128+D9)/2</f>
        <v>216283.5</v>
      </c>
      <c r="E25" s="9">
        <f>+(162051+E9)/2</f>
        <v>203287.5</v>
      </c>
      <c r="F25" s="9">
        <f>+(158223+F9)/2</f>
        <v>191914</v>
      </c>
      <c r="G25" s="9">
        <f>(G9+H9)/2</f>
        <v>186325</v>
      </c>
      <c r="H25" s="9">
        <f>(H9+126314)/2</f>
        <v>151621.5</v>
      </c>
    </row>
    <row r="26" spans="1:8" ht="11.25">
      <c r="A26" s="8" t="s">
        <v>22</v>
      </c>
      <c r="B26" s="8"/>
      <c r="C26" s="9">
        <f aca="true" t="shared" si="4" ref="C26:H26">C27+C28</f>
        <v>237559.5</v>
      </c>
      <c r="D26" s="9">
        <f t="shared" si="4"/>
        <v>190236</v>
      </c>
      <c r="E26" s="9">
        <f t="shared" si="4"/>
        <v>170714</v>
      </c>
      <c r="F26" s="9">
        <f t="shared" si="4"/>
        <v>167250</v>
      </c>
      <c r="G26" s="9">
        <f t="shared" si="4"/>
        <v>159081</v>
      </c>
      <c r="H26" s="9">
        <f t="shared" si="4"/>
        <v>130455</v>
      </c>
    </row>
    <row r="27" spans="1:8" ht="11.25">
      <c r="A27" s="8"/>
      <c r="B27" s="8" t="s">
        <v>12</v>
      </c>
      <c r="C27" s="9">
        <f>+(C11+G11)/2</f>
        <v>236107</v>
      </c>
      <c r="D27" s="9">
        <f>+(148479+D11)/2</f>
        <v>188983.5</v>
      </c>
      <c r="E27" s="9">
        <f>+(138746+E11)/2</f>
        <v>169169</v>
      </c>
      <c r="F27" s="9">
        <f>+(139402+F11)/2</f>
        <v>163550</v>
      </c>
      <c r="G27" s="9">
        <f>(G11+H11)/2</f>
        <v>155387</v>
      </c>
      <c r="H27" s="9">
        <f>(H11+109891)/2</f>
        <v>127424</v>
      </c>
    </row>
    <row r="28" spans="1:8" ht="11.25">
      <c r="A28" s="8"/>
      <c r="B28" s="8" t="s">
        <v>15</v>
      </c>
      <c r="C28" s="9">
        <f>+(C14+G14)/2</f>
        <v>1452.5</v>
      </c>
      <c r="D28" s="9">
        <f>+(1436+D14)/2</f>
        <v>1252.5</v>
      </c>
      <c r="E28" s="9">
        <f>+(1434+E14)/2</f>
        <v>1545</v>
      </c>
      <c r="F28" s="9">
        <f>+(5734+F14)/2</f>
        <v>3700</v>
      </c>
      <c r="G28" s="9">
        <f>(G14+H14)/2</f>
        <v>3694</v>
      </c>
      <c r="H28" s="9">
        <f>(H14+335)/2</f>
        <v>3031</v>
      </c>
    </row>
    <row r="29" spans="1:8" ht="11.25">
      <c r="A29" s="4" t="s">
        <v>20</v>
      </c>
      <c r="B29" s="4"/>
      <c r="C29" s="10">
        <f>+(C23+G23)/2</f>
        <v>16586.5</v>
      </c>
      <c r="D29" s="10">
        <f>+(10959+D23)/2</f>
        <v>12512.5</v>
      </c>
      <c r="E29" s="10">
        <f>+(9767+E23)/2</f>
        <v>12405</v>
      </c>
      <c r="F29" s="10">
        <f>+(11079+F23)/2</f>
        <v>12332</v>
      </c>
      <c r="G29" s="10">
        <f>(G23+H23)/2</f>
        <v>11188</v>
      </c>
      <c r="H29" s="10">
        <f>(H23+7669)/2</f>
        <v>8844</v>
      </c>
    </row>
    <row r="30" spans="1:8" ht="11.25">
      <c r="A30" s="6" t="s">
        <v>23</v>
      </c>
      <c r="B30" s="8"/>
      <c r="C30" s="8"/>
      <c r="D30" s="8"/>
      <c r="E30" s="8"/>
      <c r="F30" s="8"/>
      <c r="G30" s="8"/>
      <c r="H30" s="8"/>
    </row>
    <row r="31" spans="1:8" ht="11.25">
      <c r="A31" s="8" t="s">
        <v>24</v>
      </c>
      <c r="B31" s="8"/>
      <c r="C31" s="9">
        <v>27613</v>
      </c>
      <c r="D31" s="9">
        <v>18343</v>
      </c>
      <c r="E31" s="9">
        <v>11587</v>
      </c>
      <c r="F31" s="9">
        <v>5545</v>
      </c>
      <c r="G31" s="9">
        <v>17029</v>
      </c>
      <c r="H31" s="9">
        <v>14492</v>
      </c>
    </row>
    <row r="32" spans="1:8" ht="11.25">
      <c r="A32" s="8" t="s">
        <v>25</v>
      </c>
      <c r="B32" s="8"/>
      <c r="C32" s="9">
        <v>16979</v>
      </c>
      <c r="D32" s="9">
        <v>10586</v>
      </c>
      <c r="E32" s="9">
        <v>6479</v>
      </c>
      <c r="F32" s="9">
        <v>3092</v>
      </c>
      <c r="G32" s="9">
        <v>8699</v>
      </c>
      <c r="H32" s="9">
        <v>6828</v>
      </c>
    </row>
    <row r="33" spans="1:8" ht="11.25">
      <c r="A33" s="8" t="s">
        <v>26</v>
      </c>
      <c r="B33" s="8"/>
      <c r="C33" s="9">
        <f aca="true" t="shared" si="5" ref="C33:H33">C31-C32</f>
        <v>10634</v>
      </c>
      <c r="D33" s="9">
        <f t="shared" si="5"/>
        <v>7757</v>
      </c>
      <c r="E33" s="9">
        <f t="shared" si="5"/>
        <v>5108</v>
      </c>
      <c r="F33" s="9">
        <f t="shared" si="5"/>
        <v>2453</v>
      </c>
      <c r="G33" s="9">
        <f t="shared" si="5"/>
        <v>8330</v>
      </c>
      <c r="H33" s="9">
        <f t="shared" si="5"/>
        <v>7664</v>
      </c>
    </row>
    <row r="34" spans="1:8" ht="11.25">
      <c r="A34" s="8" t="s">
        <v>27</v>
      </c>
      <c r="B34" s="8"/>
      <c r="C34" s="9">
        <v>1183</v>
      </c>
      <c r="D34" s="9">
        <v>544</v>
      </c>
      <c r="E34" s="9">
        <v>393</v>
      </c>
      <c r="F34" s="9">
        <v>207</v>
      </c>
      <c r="G34" s="9">
        <v>776</v>
      </c>
      <c r="H34" s="9">
        <v>730</v>
      </c>
    </row>
    <row r="35" spans="1:8" ht="11.25">
      <c r="A35" s="8" t="s">
        <v>28</v>
      </c>
      <c r="B35" s="8"/>
      <c r="C35" s="9">
        <f aca="true" t="shared" si="6" ref="C35:H35">C33+C34</f>
        <v>11817</v>
      </c>
      <c r="D35" s="9">
        <f t="shared" si="6"/>
        <v>8301</v>
      </c>
      <c r="E35" s="9">
        <f t="shared" si="6"/>
        <v>5501</v>
      </c>
      <c r="F35" s="9">
        <f t="shared" si="6"/>
        <v>2660</v>
      </c>
      <c r="G35" s="9">
        <f t="shared" si="6"/>
        <v>9106</v>
      </c>
      <c r="H35" s="9">
        <f t="shared" si="6"/>
        <v>8394</v>
      </c>
    </row>
    <row r="36" spans="1:8" ht="11.25">
      <c r="A36" s="8" t="s">
        <v>29</v>
      </c>
      <c r="B36" s="8"/>
      <c r="C36" s="9">
        <v>5158</v>
      </c>
      <c r="D36" s="9">
        <v>3644</v>
      </c>
      <c r="E36" s="9">
        <v>2518</v>
      </c>
      <c r="F36" s="9">
        <v>1285</v>
      </c>
      <c r="G36" s="9">
        <v>3757</v>
      </c>
      <c r="H36" s="9">
        <v>5067</v>
      </c>
    </row>
    <row r="37" spans="1:8" ht="11.25">
      <c r="A37" s="8" t="s">
        <v>30</v>
      </c>
      <c r="B37" s="8"/>
      <c r="C37" s="9">
        <f aca="true" t="shared" si="7" ref="C37:H37">C35-C36</f>
        <v>6659</v>
      </c>
      <c r="D37" s="9">
        <f t="shared" si="7"/>
        <v>4657</v>
      </c>
      <c r="E37" s="9">
        <f t="shared" si="7"/>
        <v>2983</v>
      </c>
      <c r="F37" s="9">
        <f t="shared" si="7"/>
        <v>1375</v>
      </c>
      <c r="G37" s="9">
        <f t="shared" si="7"/>
        <v>5349</v>
      </c>
      <c r="H37" s="9">
        <f t="shared" si="7"/>
        <v>3327</v>
      </c>
    </row>
    <row r="38" spans="1:8" ht="11.25">
      <c r="A38" s="4" t="s">
        <v>31</v>
      </c>
      <c r="B38" s="4"/>
      <c r="C38" s="10">
        <v>6059</v>
      </c>
      <c r="D38" s="10">
        <v>4207</v>
      </c>
      <c r="E38" s="10">
        <v>2683</v>
      </c>
      <c r="F38" s="10">
        <v>1225</v>
      </c>
      <c r="G38" s="10">
        <v>4829</v>
      </c>
      <c r="H38" s="10">
        <v>2698</v>
      </c>
    </row>
    <row r="39" spans="1:8" ht="11.25">
      <c r="A39" s="6" t="s">
        <v>32</v>
      </c>
      <c r="B39" s="8"/>
      <c r="C39" s="8"/>
      <c r="D39" s="8"/>
      <c r="E39" s="8"/>
      <c r="F39" s="8"/>
      <c r="G39" s="8"/>
      <c r="H39" s="8"/>
    </row>
    <row r="40" spans="1:8" ht="11.25">
      <c r="A40" s="8" t="s">
        <v>33</v>
      </c>
      <c r="B40" s="8"/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1.25">
      <c r="A41" s="8" t="s">
        <v>34</v>
      </c>
      <c r="B41" s="8"/>
      <c r="C41" s="9">
        <v>1125</v>
      </c>
      <c r="D41" s="9">
        <v>3676</v>
      </c>
      <c r="E41" s="9">
        <v>1</v>
      </c>
      <c r="F41" s="9">
        <v>316</v>
      </c>
      <c r="G41" s="9">
        <v>25</v>
      </c>
      <c r="H41" s="9">
        <v>14</v>
      </c>
    </row>
    <row r="42" spans="1:8" ht="11.25">
      <c r="A42" s="8" t="s">
        <v>35</v>
      </c>
      <c r="B42" s="8"/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</row>
    <row r="43" spans="1:8" ht="11.25">
      <c r="A43" s="8" t="s">
        <v>36</v>
      </c>
      <c r="B43" s="8"/>
      <c r="C43" s="11">
        <f aca="true" t="shared" si="8" ref="C43:H43">C41/C11</f>
        <v>0.003671706968410265</v>
      </c>
      <c r="D43" s="11">
        <f t="shared" si="8"/>
        <v>0.016018266750331172</v>
      </c>
      <c r="E43" s="11">
        <f t="shared" si="8"/>
        <v>5.010220850535092E-06</v>
      </c>
      <c r="F43" s="11">
        <f t="shared" si="8"/>
        <v>0.001683555498726678</v>
      </c>
      <c r="G43" s="11">
        <f t="shared" si="8"/>
        <v>0.00015076861841668826</v>
      </c>
      <c r="H43" s="11">
        <f t="shared" si="8"/>
        <v>9.658036521175246E-05</v>
      </c>
    </row>
    <row r="44" spans="1:8" ht="11.25">
      <c r="A44" s="12" t="s">
        <v>37</v>
      </c>
      <c r="B44" s="8"/>
      <c r="C44" s="11">
        <f aca="true" t="shared" si="9" ref="C44:H44">C41/C11</f>
        <v>0.003671706968410265</v>
      </c>
      <c r="D44" s="11">
        <f t="shared" si="9"/>
        <v>0.016018266750331172</v>
      </c>
      <c r="E44" s="11">
        <f t="shared" si="9"/>
        <v>5.010220850535092E-06</v>
      </c>
      <c r="F44" s="11">
        <f t="shared" si="9"/>
        <v>0.001683555498726678</v>
      </c>
      <c r="G44" s="11">
        <f t="shared" si="9"/>
        <v>0.00015076861841668826</v>
      </c>
      <c r="H44" s="11">
        <f t="shared" si="9"/>
        <v>9.658036521175246E-05</v>
      </c>
    </row>
    <row r="45" spans="1:8" ht="11.25">
      <c r="A45" s="8" t="s">
        <v>38</v>
      </c>
      <c r="B45" s="8"/>
      <c r="C45" s="11">
        <f>2926/C11</f>
        <v>0.009549701857394165</v>
      </c>
      <c r="D45" s="11">
        <f>1782/D11</f>
        <v>0.007765111901275884</v>
      </c>
      <c r="E45" s="11">
        <f>2076/E11</f>
        <v>0.01040121848571085</v>
      </c>
      <c r="F45" s="11">
        <f>1977/F11</f>
        <v>0.010532877281590641</v>
      </c>
      <c r="G45" s="11">
        <f>1849/G11</f>
        <v>0.011150847018098264</v>
      </c>
      <c r="H45" s="11">
        <f>1426/H11</f>
        <v>0.0098374000565685</v>
      </c>
    </row>
    <row r="46" spans="1:8" ht="11.25">
      <c r="A46" s="4" t="s">
        <v>39</v>
      </c>
      <c r="B46" s="4"/>
      <c r="C46" s="13"/>
      <c r="D46" s="13"/>
      <c r="E46" s="13"/>
      <c r="F46" s="13"/>
      <c r="G46" s="13"/>
      <c r="H46" s="13"/>
    </row>
    <row r="47" spans="1:8" ht="11.25">
      <c r="A47" s="6" t="s">
        <v>40</v>
      </c>
      <c r="B47" s="8"/>
      <c r="C47" s="8"/>
      <c r="D47" s="8"/>
      <c r="E47" s="8"/>
      <c r="F47" s="8"/>
      <c r="G47" s="8"/>
      <c r="H47" s="8"/>
    </row>
    <row r="48" spans="1:8" ht="11.25">
      <c r="A48" s="8" t="s">
        <v>41</v>
      </c>
      <c r="B48" s="8"/>
      <c r="C48" s="11">
        <f aca="true" t="shared" si="10" ref="C48:H48">+C29/C25</f>
        <v>0.061420903437000664</v>
      </c>
      <c r="D48" s="11">
        <f t="shared" si="10"/>
        <v>0.0578523095844112</v>
      </c>
      <c r="E48" s="11">
        <f t="shared" si="10"/>
        <v>0.06102195166943369</v>
      </c>
      <c r="F48" s="11">
        <f t="shared" si="10"/>
        <v>0.06425794887293267</v>
      </c>
      <c r="G48" s="11">
        <f t="shared" si="10"/>
        <v>0.06004561921373943</v>
      </c>
      <c r="H48" s="11">
        <f t="shared" si="10"/>
        <v>0.05832945855304162</v>
      </c>
    </row>
    <row r="49" spans="1:8" ht="11.25">
      <c r="A49" s="4" t="s">
        <v>42</v>
      </c>
      <c r="B49" s="4"/>
      <c r="C49" s="13">
        <f aca="true" t="shared" si="11" ref="C49:H49">+C29/C26</f>
        <v>0.06982040288853951</v>
      </c>
      <c r="D49" s="13">
        <f t="shared" si="11"/>
        <v>0.06577356546605269</v>
      </c>
      <c r="E49" s="13">
        <f t="shared" si="11"/>
        <v>0.07266539358224867</v>
      </c>
      <c r="F49" s="13">
        <f t="shared" si="11"/>
        <v>0.0737339312406577</v>
      </c>
      <c r="G49" s="13">
        <f t="shared" si="11"/>
        <v>0.07032895191757658</v>
      </c>
      <c r="H49" s="13">
        <f t="shared" si="11"/>
        <v>0.06779349200873865</v>
      </c>
    </row>
    <row r="50" spans="1:8" ht="11.25">
      <c r="A50" s="6" t="s">
        <v>43</v>
      </c>
      <c r="B50" s="8"/>
      <c r="C50" s="8"/>
      <c r="D50" s="8"/>
      <c r="E50" s="8"/>
      <c r="F50" s="8"/>
      <c r="G50" s="8"/>
      <c r="H50" s="8"/>
    </row>
    <row r="51" spans="1:8" ht="11.25">
      <c r="A51" s="8" t="s">
        <v>44</v>
      </c>
      <c r="B51" s="8"/>
      <c r="C51" s="11">
        <f aca="true" t="shared" si="12" ref="C51:H51">C10/C15</f>
        <v>0.10355316926572722</v>
      </c>
      <c r="D51" s="11">
        <f t="shared" si="12"/>
        <v>0.0751390471737627</v>
      </c>
      <c r="E51" s="11">
        <f t="shared" si="12"/>
        <v>0.19694078965454676</v>
      </c>
      <c r="F51" s="11">
        <f t="shared" si="12"/>
        <v>0.16083610337495882</v>
      </c>
      <c r="G51" s="11">
        <f t="shared" si="12"/>
        <v>0.1397683973585366</v>
      </c>
      <c r="H51" s="11">
        <f t="shared" si="12"/>
        <v>0.1818714713232345</v>
      </c>
    </row>
    <row r="52" spans="1:8" ht="11.25">
      <c r="A52" s="8" t="s">
        <v>45</v>
      </c>
      <c r="B52" s="8"/>
      <c r="C52" s="11">
        <f aca="true" t="shared" si="13" ref="C52:H52">C10/C9</f>
        <v>0.0820479016877098</v>
      </c>
      <c r="D52" s="11">
        <f t="shared" si="13"/>
        <v>0.05946677253612603</v>
      </c>
      <c r="E52" s="11">
        <f t="shared" si="13"/>
        <v>0.1464845986488034</v>
      </c>
      <c r="F52" s="11">
        <f t="shared" si="13"/>
        <v>0.11903104984375347</v>
      </c>
      <c r="G52" s="11">
        <f t="shared" si="13"/>
        <v>0.10532850332871792</v>
      </c>
      <c r="H52" s="11">
        <f t="shared" si="13"/>
        <v>0.13327379909455206</v>
      </c>
    </row>
    <row r="53" spans="1:8" ht="11.25">
      <c r="A53" s="4" t="s">
        <v>46</v>
      </c>
      <c r="B53" s="4"/>
      <c r="C53" s="13">
        <f aca="true" t="shared" si="14" ref="C53:H53">(C10+C14)/C15</f>
        <v>0.10811236737461288</v>
      </c>
      <c r="D53" s="13">
        <f t="shared" si="14"/>
        <v>0.0803454019461734</v>
      </c>
      <c r="E53" s="13">
        <f t="shared" si="14"/>
        <v>0.20604584416941119</v>
      </c>
      <c r="F53" s="13">
        <f t="shared" si="14"/>
        <v>0.17081424250591443</v>
      </c>
      <c r="G53" s="13">
        <f t="shared" si="14"/>
        <v>0.15102987240158922</v>
      </c>
      <c r="H53" s="13">
        <f t="shared" si="14"/>
        <v>0.22604356276802517</v>
      </c>
    </row>
    <row r="54" spans="1:8" ht="11.25">
      <c r="A54" s="6" t="s">
        <v>47</v>
      </c>
      <c r="B54" s="8"/>
      <c r="C54" s="8"/>
      <c r="D54" s="8"/>
      <c r="E54" s="8"/>
      <c r="F54" s="8"/>
      <c r="G54" s="8"/>
      <c r="H54" s="8"/>
    </row>
    <row r="55" spans="1:8" ht="11.25">
      <c r="A55" s="8" t="s">
        <v>48</v>
      </c>
      <c r="B55" s="8"/>
      <c r="C55" s="14">
        <f>C38/C26</f>
        <v>0.02550518922627805</v>
      </c>
      <c r="D55" s="14">
        <f>(D38/0.75)/D26</f>
        <v>0.029486182075597327</v>
      </c>
      <c r="E55" s="14">
        <f>(E38/0.5)/E26</f>
        <v>0.03143268859027379</v>
      </c>
      <c r="F55" s="11">
        <f>((F38)/0.25)/F26</f>
        <v>0.02929745889387145</v>
      </c>
      <c r="G55" s="11">
        <f>G38/G26</f>
        <v>0.030355605006254675</v>
      </c>
      <c r="H55" s="11">
        <f>H38/H26</f>
        <v>0.020681461040205434</v>
      </c>
    </row>
    <row r="56" spans="1:8" ht="11.25">
      <c r="A56" s="8" t="s">
        <v>49</v>
      </c>
      <c r="B56" s="8"/>
      <c r="C56" s="14">
        <f>C38/C25</f>
        <v>0.022436876611990897</v>
      </c>
      <c r="D56" s="14">
        <f>(D38/0.75)/D25</f>
        <v>0.025935095988983595</v>
      </c>
      <c r="E56" s="14">
        <f>(E38/0.5)/E25</f>
        <v>0.026396113878128267</v>
      </c>
      <c r="F56" s="11">
        <f>((F38)/0.25)/F25</f>
        <v>0.025532269662452974</v>
      </c>
      <c r="G56" s="11">
        <f>G38/G25</f>
        <v>0.025917080370320675</v>
      </c>
      <c r="H56" s="11">
        <f>H38/H25</f>
        <v>0.017794310173689088</v>
      </c>
    </row>
    <row r="57" spans="1:8" ht="11.25">
      <c r="A57" s="8" t="s">
        <v>50</v>
      </c>
      <c r="B57" s="8"/>
      <c r="C57" s="14">
        <f>+C38/C29</f>
        <v>0.3652970789497483</v>
      </c>
      <c r="D57" s="14">
        <f>(D38/0.75)/D29</f>
        <v>0.4482983682983683</v>
      </c>
      <c r="E57" s="14">
        <f>(E38/0.5)/E29</f>
        <v>0.43256751309955666</v>
      </c>
      <c r="F57" s="11">
        <f>((F38)/0.25)/F29</f>
        <v>0.3973402530003244</v>
      </c>
      <c r="G57" s="11">
        <f>G38/G29</f>
        <v>0.43162316767965675</v>
      </c>
      <c r="H57" s="11">
        <f>H38/H29</f>
        <v>0.30506558118498417</v>
      </c>
    </row>
    <row r="58" spans="1:8" ht="11.25">
      <c r="A58" s="8" t="s">
        <v>51</v>
      </c>
      <c r="B58" s="8"/>
      <c r="C58" s="14">
        <f>C31/C25</f>
        <v>0.10225276017278506</v>
      </c>
      <c r="D58" s="14">
        <f>(D31/0.75)/D25</f>
        <v>0.11307997759114002</v>
      </c>
      <c r="E58" s="14">
        <f>(E31/0.5)/E25</f>
        <v>0.11399618766525241</v>
      </c>
      <c r="F58" s="11">
        <f>((F31)/0.25)/F25</f>
        <v>0.11557260022718509</v>
      </c>
      <c r="G58" s="11">
        <f>G31/G25</f>
        <v>0.09139406950221388</v>
      </c>
      <c r="H58" s="11">
        <f>H31/H25</f>
        <v>0.09558011231916318</v>
      </c>
    </row>
    <row r="59" spans="1:8" ht="11.25">
      <c r="A59" s="8" t="s">
        <v>52</v>
      </c>
      <c r="B59" s="8"/>
      <c r="C59" s="14">
        <f>C32/C25</f>
        <v>0.06287435682373221</v>
      </c>
      <c r="D59" s="14">
        <f>(D32/0.75)/D25</f>
        <v>0.06526002522923231</v>
      </c>
      <c r="E59" s="14">
        <f>(E32/0.5)/E25</f>
        <v>0.06374223697964705</v>
      </c>
      <c r="F59" s="11">
        <f>((F32)/0.25)/F25</f>
        <v>0.06444553289494252</v>
      </c>
      <c r="G59" s="11">
        <f>G32/G25</f>
        <v>0.046687240037568765</v>
      </c>
      <c r="H59" s="11">
        <f>H32/H25</f>
        <v>0.04503319120309455</v>
      </c>
    </row>
    <row r="60" spans="1:8" ht="11.25">
      <c r="A60" s="8" t="s">
        <v>53</v>
      </c>
      <c r="B60" s="8"/>
      <c r="C60" s="14">
        <f>C33/C25</f>
        <v>0.03937840334905285</v>
      </c>
      <c r="D60" s="14">
        <f>(D33/0.75)/D25</f>
        <v>0.04781995236190771</v>
      </c>
      <c r="E60" s="14">
        <f>(E33/0.5)/E25</f>
        <v>0.05025395068560536</v>
      </c>
      <c r="F60" s="11">
        <f>((F33)/0.25)/F25</f>
        <v>0.051127067332242565</v>
      </c>
      <c r="G60" s="11">
        <f>G33/G25</f>
        <v>0.04470682946464511</v>
      </c>
      <c r="H60" s="11">
        <f>H33/H25</f>
        <v>0.05054692111606863</v>
      </c>
    </row>
    <row r="61" spans="1:8" ht="11.25">
      <c r="A61" s="8" t="s">
        <v>54</v>
      </c>
      <c r="B61" s="8"/>
      <c r="C61" s="14">
        <f>C36/C35</f>
        <v>0.4364898028264365</v>
      </c>
      <c r="D61" s="14">
        <f>(D36/0.75)/(D35/0.75)</f>
        <v>0.4389832550295145</v>
      </c>
      <c r="E61" s="14">
        <f>(E36/0.5)/(E35/0.5)</f>
        <v>0.45773495728049446</v>
      </c>
      <c r="F61" s="11">
        <f>(F36/0.25)/(F35/0.25)</f>
        <v>0.4830827067669173</v>
      </c>
      <c r="G61" s="11">
        <f>G36/G35</f>
        <v>0.4125851087195256</v>
      </c>
      <c r="H61" s="11">
        <f>H36/H35</f>
        <v>0.6036454610436026</v>
      </c>
    </row>
    <row r="62" spans="1:8" ht="11.25">
      <c r="A62" s="4" t="s">
        <v>55</v>
      </c>
      <c r="B62" s="4"/>
      <c r="C62" s="15">
        <f>C34/C25</f>
        <v>0.004380727022938642</v>
      </c>
      <c r="D62" s="15">
        <f>(D34/0.75)/D25</f>
        <v>0.0033536230610903437</v>
      </c>
      <c r="E62" s="15">
        <f>(E34/0.5)/E25</f>
        <v>0.003866445305294226</v>
      </c>
      <c r="F62" s="13">
        <f>(F34/0.25)/F25</f>
        <v>0.004314432506226747</v>
      </c>
      <c r="G62" s="13">
        <f>G34/G25</f>
        <v>0.00416476586609419</v>
      </c>
      <c r="H62" s="13">
        <f>H34/H25</f>
        <v>0.004814620617788375</v>
      </c>
    </row>
    <row r="63" spans="1:8" ht="11.25">
      <c r="A63" s="6" t="s">
        <v>56</v>
      </c>
      <c r="B63" s="8"/>
      <c r="C63" s="8"/>
      <c r="D63" s="8"/>
      <c r="E63" s="8"/>
      <c r="F63" s="8"/>
      <c r="G63" s="8"/>
      <c r="H63" s="8"/>
    </row>
    <row r="64" spans="1:8" ht="11.25">
      <c r="A64" s="8" t="s">
        <v>57</v>
      </c>
      <c r="B64" s="8"/>
      <c r="C64" s="9">
        <v>22</v>
      </c>
      <c r="D64" s="9">
        <v>21</v>
      </c>
      <c r="E64" s="9">
        <v>21</v>
      </c>
      <c r="F64" s="9">
        <v>21</v>
      </c>
      <c r="G64" s="9">
        <v>21</v>
      </c>
      <c r="H64" s="9">
        <v>20</v>
      </c>
    </row>
    <row r="65" spans="1:8" ht="11.25">
      <c r="A65" s="8" t="s">
        <v>58</v>
      </c>
      <c r="B65" s="8"/>
      <c r="C65" s="9">
        <v>1</v>
      </c>
      <c r="D65" s="9">
        <v>1</v>
      </c>
      <c r="E65" s="9">
        <v>1</v>
      </c>
      <c r="F65" s="9">
        <v>1</v>
      </c>
      <c r="G65" s="9">
        <v>1</v>
      </c>
      <c r="H65" s="9">
        <v>1</v>
      </c>
    </row>
    <row r="66" spans="1:8" ht="11.25">
      <c r="A66" s="8" t="s">
        <v>59</v>
      </c>
      <c r="B66" s="8"/>
      <c r="C66" s="9">
        <f aca="true" t="shared" si="15" ref="C66:H66">C11/C64</f>
        <v>13927.136363636364</v>
      </c>
      <c r="D66" s="9">
        <f t="shared" si="15"/>
        <v>10928</v>
      </c>
      <c r="E66" s="9">
        <f t="shared" si="15"/>
        <v>9504.380952380952</v>
      </c>
      <c r="F66" s="9">
        <f t="shared" si="15"/>
        <v>8938</v>
      </c>
      <c r="G66" s="9">
        <f t="shared" si="15"/>
        <v>7896.047619047619</v>
      </c>
      <c r="H66" s="9">
        <f t="shared" si="15"/>
        <v>7247.85</v>
      </c>
    </row>
    <row r="67" spans="1:8" ht="11.25">
      <c r="A67" s="8" t="s">
        <v>60</v>
      </c>
      <c r="B67" s="8"/>
      <c r="C67" s="9">
        <f aca="true" t="shared" si="16" ref="C67:H67">+C15/C64</f>
        <v>12402.5</v>
      </c>
      <c r="D67" s="9">
        <f t="shared" si="16"/>
        <v>9777.42857142857</v>
      </c>
      <c r="E67" s="9">
        <f t="shared" si="16"/>
        <v>8660.809523809523</v>
      </c>
      <c r="F67" s="9">
        <f t="shared" si="16"/>
        <v>7950.714285714285</v>
      </c>
      <c r="G67" s="9">
        <f t="shared" si="16"/>
        <v>7023.523809523809</v>
      </c>
      <c r="H67" s="9">
        <f t="shared" si="16"/>
        <v>6482.6</v>
      </c>
    </row>
    <row r="68" spans="1:8" ht="11.25">
      <c r="A68" s="4" t="s">
        <v>61</v>
      </c>
      <c r="B68" s="4"/>
      <c r="C68" s="10">
        <f aca="true" t="shared" si="17" ref="C68:H68">+C38/C64</f>
        <v>275.40909090909093</v>
      </c>
      <c r="D68" s="10">
        <f t="shared" si="17"/>
        <v>200.33333333333334</v>
      </c>
      <c r="E68" s="10">
        <f t="shared" si="17"/>
        <v>127.76190476190476</v>
      </c>
      <c r="F68" s="10">
        <f t="shared" si="17"/>
        <v>58.333333333333336</v>
      </c>
      <c r="G68" s="10">
        <f t="shared" si="17"/>
        <v>229.95238095238096</v>
      </c>
      <c r="H68" s="10">
        <f t="shared" si="17"/>
        <v>134.9</v>
      </c>
    </row>
    <row r="69" spans="1:8" ht="11.25">
      <c r="A69" s="6" t="s">
        <v>62</v>
      </c>
      <c r="B69" s="8"/>
      <c r="C69" s="8"/>
      <c r="D69" s="8"/>
      <c r="E69" s="8"/>
      <c r="F69" s="8"/>
      <c r="G69" s="8"/>
      <c r="H69" s="8"/>
    </row>
    <row r="70" spans="1:8" ht="11.25">
      <c r="A70" s="8" t="s">
        <v>63</v>
      </c>
      <c r="B70" s="8"/>
      <c r="C70" s="11">
        <f>+(C9/G9)-1</f>
        <v>0.7595046009370481</v>
      </c>
      <c r="D70" s="11">
        <f>+(D9/173128)-1</f>
        <v>0.49853865348181703</v>
      </c>
      <c r="E70" s="11">
        <f>+(E9/162051)-1</f>
        <v>0.5089323731417887</v>
      </c>
      <c r="F70" s="11">
        <f>+(F9/158223)-1</f>
        <v>0.4258672885737218</v>
      </c>
      <c r="G70" s="11">
        <f>+(G9/H9)-1</f>
        <v>0.10621209637764295</v>
      </c>
      <c r="H70" s="11">
        <f>+(H9/126314)-1</f>
        <v>0.40070776002660047</v>
      </c>
    </row>
    <row r="71" spans="1:8" ht="11.25">
      <c r="A71" s="8" t="s">
        <v>64</v>
      </c>
      <c r="B71" s="8"/>
      <c r="C71" s="11">
        <f aca="true" t="shared" si="18" ref="C71:H71">SUM(C72:C73)</f>
        <v>0.8478020950807215</v>
      </c>
      <c r="D71" s="11">
        <f t="shared" si="18"/>
        <v>0.7473110675583752</v>
      </c>
      <c r="E71" s="11">
        <f t="shared" si="18"/>
        <v>0.7623859426578063</v>
      </c>
      <c r="F71" s="11">
        <f t="shared" si="18"/>
        <v>0.6183770677608642</v>
      </c>
      <c r="G71" s="11">
        <f t="shared" si="18"/>
        <v>0.14390474416551124</v>
      </c>
      <c r="H71" s="11">
        <f t="shared" si="18"/>
        <v>0.3191100191100191</v>
      </c>
    </row>
    <row r="72" spans="1:8" ht="11.25">
      <c r="A72" s="8"/>
      <c r="B72" s="8" t="s">
        <v>13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</row>
    <row r="73" spans="1:8" ht="11.25">
      <c r="A73" s="8"/>
      <c r="B73" s="8" t="s">
        <v>14</v>
      </c>
      <c r="C73" s="11">
        <f>+(C13/G13)-1</f>
        <v>0.8478020950807215</v>
      </c>
      <c r="D73" s="11">
        <f>+(D9/148479)-1</f>
        <v>0.7473110675583752</v>
      </c>
      <c r="E73" s="11">
        <f>+(E9/138746)-1</f>
        <v>0.7623859426578063</v>
      </c>
      <c r="F73" s="11">
        <f>+(F9/139402)-1</f>
        <v>0.6183770677608642</v>
      </c>
      <c r="G73" s="11">
        <f>+(G13/H13)-1</f>
        <v>0.14390474416551124</v>
      </c>
      <c r="H73" s="11">
        <f>+(H13/109890)-1</f>
        <v>0.3191100191100191</v>
      </c>
    </row>
    <row r="74" spans="1:8" ht="11.25">
      <c r="A74" s="8" t="s">
        <v>65</v>
      </c>
      <c r="B74" s="8"/>
      <c r="C74" s="11">
        <f aca="true" t="shared" si="19" ref="C74:H74">SUM(C75:C76)</f>
        <v>0.8499396585623822</v>
      </c>
      <c r="D74" s="11">
        <f t="shared" si="19"/>
        <v>0.5322149754488605</v>
      </c>
      <c r="E74" s="11">
        <f t="shared" si="19"/>
        <v>0.42028159335296</v>
      </c>
      <c r="F74" s="11">
        <f t="shared" si="19"/>
        <v>0.3167898294123679</v>
      </c>
      <c r="G74" s="11">
        <f t="shared" si="19"/>
        <v>0.13761453737697837</v>
      </c>
      <c r="H74" s="11">
        <f t="shared" si="19"/>
        <v>0.13386680659407935</v>
      </c>
    </row>
    <row r="75" spans="1:8" ht="11.25">
      <c r="A75" s="8"/>
      <c r="B75" s="8" t="s">
        <v>13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</row>
    <row r="76" spans="1:8" ht="11.25">
      <c r="A76" s="8"/>
      <c r="B76" s="8" t="s">
        <v>14</v>
      </c>
      <c r="C76" s="11">
        <f>+(C20/G20)-1</f>
        <v>0.8499396585623822</v>
      </c>
      <c r="D76" s="11">
        <f>+(D20/134006)-1</f>
        <v>0.5322149754488605</v>
      </c>
      <c r="E76" s="11">
        <f>+(E20/128057)-1</f>
        <v>0.42028159335296</v>
      </c>
      <c r="F76" s="11">
        <f>+(F20/126797)-1</f>
        <v>0.3167898294123679</v>
      </c>
      <c r="G76" s="11">
        <f>+(G20/H20)-1</f>
        <v>0.13761453737697837</v>
      </c>
      <c r="H76" s="11">
        <f>+(H20/114345)-1</f>
        <v>0.13386680659407935</v>
      </c>
    </row>
    <row r="77" spans="1:8" ht="11.25">
      <c r="A77" s="8" t="s">
        <v>66</v>
      </c>
      <c r="B77" s="8"/>
      <c r="C77" s="16">
        <f>+(C23/G23)-1</f>
        <v>0.68455126648863</v>
      </c>
      <c r="D77" s="16">
        <f>+(D23/10959)-1</f>
        <v>0.2835112692763939</v>
      </c>
      <c r="E77" s="16">
        <f>+(E23/9767)-1</f>
        <v>0.5401863417630797</v>
      </c>
      <c r="F77" s="16">
        <f>+(F23/11079)-1</f>
        <v>0.22619369979240012</v>
      </c>
      <c r="G77" s="16">
        <f>+(G23/H23)-1</f>
        <v>0.23335662241740684</v>
      </c>
      <c r="H77" s="16">
        <f>(H23/7669)-1</f>
        <v>0.3064284782892164</v>
      </c>
    </row>
    <row r="78" spans="1:8" ht="11.25">
      <c r="A78" s="4" t="s">
        <v>67</v>
      </c>
      <c r="B78" s="4"/>
      <c r="C78" s="13">
        <f>+(C38/G38)-1</f>
        <v>0.25471112031476495</v>
      </c>
      <c r="D78" s="13">
        <f>+(D38/3434)-1</f>
        <v>0.22510192195690149</v>
      </c>
      <c r="E78" s="13">
        <f>+(E38/2241)-1</f>
        <v>0.1972333779562696</v>
      </c>
      <c r="F78" s="13">
        <f>+(F38/1061)-1</f>
        <v>0.1545711592836947</v>
      </c>
      <c r="G78" s="13">
        <f>+(G38/H38)-1</f>
        <v>0.7898443291326909</v>
      </c>
      <c r="H78" s="13">
        <f>+(H38/2668)-1</f>
        <v>0.011244377811094441</v>
      </c>
    </row>
    <row r="79" spans="1:8" ht="9">
      <c r="A79" s="3"/>
      <c r="B79" s="3"/>
      <c r="C79" s="3"/>
      <c r="D79" s="3"/>
      <c r="E79" s="3"/>
      <c r="F79" s="3"/>
      <c r="G79" s="3"/>
      <c r="H79" s="3"/>
    </row>
    <row r="80" spans="1:8" ht="9">
      <c r="A80" s="3"/>
      <c r="B80" s="3"/>
      <c r="C80" s="3"/>
      <c r="D80" s="3"/>
      <c r="E80" s="3"/>
      <c r="F80" s="3"/>
      <c r="G80" s="3"/>
      <c r="H80" s="3"/>
    </row>
    <row r="81" spans="1:8" ht="9">
      <c r="A81" s="3"/>
      <c r="B81" s="3"/>
      <c r="C81" s="3"/>
      <c r="D81" s="3"/>
      <c r="E81" s="3"/>
      <c r="F81" s="3"/>
      <c r="G81" s="3"/>
      <c r="H81" s="3"/>
    </row>
    <row r="82" spans="1:8" ht="9">
      <c r="A82" s="3"/>
      <c r="B82" s="3"/>
      <c r="C82" s="3"/>
      <c r="D82" s="3"/>
      <c r="E82" s="3"/>
      <c r="F82" s="3"/>
      <c r="G82" s="3"/>
      <c r="H82" s="3"/>
    </row>
    <row r="83" spans="1:8" ht="9">
      <c r="A83" s="3"/>
      <c r="B83" s="3"/>
      <c r="C83" s="3"/>
      <c r="D83" s="3"/>
      <c r="E83" s="3"/>
      <c r="F83" s="3"/>
      <c r="G83" s="3"/>
      <c r="H83" s="3"/>
    </row>
    <row r="84" spans="1:8" ht="9">
      <c r="A84" s="3"/>
      <c r="B84" s="3"/>
      <c r="C84" s="3"/>
      <c r="D84" s="3"/>
      <c r="E84" s="3"/>
      <c r="F84" s="3"/>
      <c r="G84" s="3"/>
      <c r="H84" s="3"/>
    </row>
    <row r="85" spans="1:8" ht="9">
      <c r="A85" s="3"/>
      <c r="B85" s="3"/>
      <c r="C85" s="3"/>
      <c r="D85" s="3"/>
      <c r="E85" s="3"/>
      <c r="F85" s="3"/>
      <c r="G85" s="3"/>
      <c r="H85" s="3"/>
    </row>
    <row r="86" spans="1:8" ht="9">
      <c r="A86" s="3"/>
      <c r="B86" s="3"/>
      <c r="C86" s="3"/>
      <c r="D86" s="3"/>
      <c r="E86" s="3"/>
      <c r="F86" s="3"/>
      <c r="G86" s="3"/>
      <c r="H86" s="3"/>
    </row>
    <row r="87" spans="1:8" ht="9">
      <c r="A87" s="3"/>
      <c r="B87" s="3"/>
      <c r="C87" s="3"/>
      <c r="D87" s="3"/>
      <c r="E87" s="3"/>
      <c r="F87" s="3"/>
      <c r="G87" s="3"/>
      <c r="H87" s="3"/>
    </row>
    <row r="88" spans="1:8" ht="9">
      <c r="A88" s="3"/>
      <c r="B88" s="3"/>
      <c r="C88" s="3"/>
      <c r="D88" s="3"/>
      <c r="E88" s="3"/>
      <c r="F88" s="3"/>
      <c r="G88" s="3"/>
      <c r="H88" s="3"/>
    </row>
    <row r="89" spans="1:8" ht="9">
      <c r="A89" s="3"/>
      <c r="B89" s="3"/>
      <c r="C89" s="3"/>
      <c r="D89" s="3"/>
      <c r="E89" s="3"/>
      <c r="F89" s="3"/>
      <c r="G89" s="3"/>
      <c r="H89" s="3"/>
    </row>
    <row r="90" spans="1:8" ht="9">
      <c r="A90" s="3"/>
      <c r="B90" s="3"/>
      <c r="C90" s="3"/>
      <c r="D90" s="3"/>
      <c r="E90" s="3"/>
      <c r="F90" s="3"/>
      <c r="G90" s="3"/>
      <c r="H90" s="3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2002-05-02T20:06:22Z</cp:lastPrinted>
  <dcterms:created xsi:type="dcterms:W3CDTF">2002-03-08T15:48:52Z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