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Prov. B.Aires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<sst xmlns="http://schemas.openxmlformats.org/spreadsheetml/2006/main" count="80" uniqueCount="68">
  <si>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19-19   BANCO DE LA PROVINCIA DE BUENOS AIRES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</si>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</sst>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0" fontId="4" fillId="0" borderId="0" xfId="19" applyNumberFormat="1" applyFont="1" applyFill="1" applyAlignment="1">
      <alignment/>
    </xf>
    <xf numFmtId="10" fontId="4" fillId="0" borderId="1" xfId="19" applyNumberFormat="1" applyFont="1" applyFill="1" applyBorder="1" applyAlignment="1">
      <alignment/>
    </xf>
    <xf numFmtId="10" fontId="4" fillId="0" borderId="0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2419350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421875" defaultRowHeight="12.75"/>
  <cols>
    <col min="1" max="1" width="3.57421875" style="1" customWidth="1"/>
    <col min="2" max="2" width="37.8515625" style="1" customWidth="1"/>
    <col min="3" max="3" width="11.421875" style="1" customWidth="1"/>
    <col min="4" max="5" width="9.57421875" style="1" customWidth="1"/>
    <col min="6" max="6" width="9.00390625" style="1" customWidth="1"/>
    <col min="7" max="16384" width="11.421875" style="1" customWidth="1"/>
  </cols>
  <sheetData>
    <row r="1" spans="2:8" ht="11.25">
      <c r="B1" s="16"/>
      <c r="C1" s="16"/>
      <c r="D1" s="16"/>
      <c r="E1" s="16"/>
      <c r="F1" s="16"/>
      <c r="G1" s="16"/>
      <c r="H1" s="16"/>
    </row>
    <row r="2" spans="2:8" ht="11.25">
      <c r="B2" s="16"/>
      <c r="C2" s="16"/>
      <c r="D2" s="16"/>
      <c r="E2" s="16"/>
      <c r="F2" s="16" t="s">
        <v>0</v>
      </c>
      <c r="G2" s="16"/>
      <c r="H2" s="16"/>
    </row>
    <row r="3" spans="2:8" ht="11.25">
      <c r="B3" s="17"/>
      <c r="C3" s="17"/>
      <c r="D3" s="17"/>
      <c r="E3" s="17"/>
      <c r="F3" s="16" t="s">
        <v>1</v>
      </c>
      <c r="G3" s="17"/>
      <c r="H3" s="17"/>
    </row>
    <row r="4" spans="1:8" ht="11.25">
      <c r="A4" s="17"/>
      <c r="B4" s="17"/>
      <c r="C4" s="17"/>
      <c r="D4" s="17"/>
      <c r="E4" s="17"/>
      <c r="F4" s="17" t="s">
        <v>2</v>
      </c>
      <c r="G4" s="17"/>
      <c r="H4" s="17"/>
    </row>
    <row r="5" spans="1:8" ht="11.25">
      <c r="A5" s="17"/>
      <c r="B5" s="17"/>
      <c r="C5" s="17"/>
      <c r="D5" s="17"/>
      <c r="E5" s="17"/>
      <c r="F5" s="17"/>
      <c r="G5" s="17"/>
      <c r="H5" s="17"/>
    </row>
    <row r="6" spans="1:8" ht="11.25">
      <c r="A6" s="3"/>
      <c r="B6" s="3"/>
      <c r="C6" s="3"/>
      <c r="D6" s="3"/>
      <c r="E6" s="3"/>
      <c r="F6" s="3"/>
      <c r="G6" s="3"/>
      <c r="H6" s="3"/>
    </row>
    <row r="7" spans="1:8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ht="11.25">
      <c r="A8" s="5" t="s">
        <v>9</v>
      </c>
      <c r="B8" s="5"/>
      <c r="C8" s="6"/>
      <c r="D8" s="6"/>
      <c r="E8" s="6"/>
      <c r="F8" s="6"/>
      <c r="G8" s="6"/>
      <c r="H8" s="6"/>
    </row>
    <row r="9" spans="1:8" ht="11.25">
      <c r="A9" s="7" t="s">
        <v>10</v>
      </c>
      <c r="B9" s="7"/>
      <c r="C9" s="8">
        <v>397550</v>
      </c>
      <c r="D9" s="8">
        <v>394342</v>
      </c>
      <c r="E9" s="8">
        <v>424700</v>
      </c>
      <c r="F9" s="8">
        <v>478976</v>
      </c>
      <c r="G9" s="8">
        <v>467772</v>
      </c>
      <c r="H9" s="8">
        <v>435205</v>
      </c>
    </row>
    <row r="10" spans="1:8" ht="11.25">
      <c r="A10" s="7" t="s">
        <v>11</v>
      </c>
      <c r="B10" s="7"/>
      <c r="C10" s="8">
        <v>281606</v>
      </c>
      <c r="D10" s="8">
        <v>272994</v>
      </c>
      <c r="E10" s="8">
        <v>287606</v>
      </c>
      <c r="F10" s="8">
        <v>296544</v>
      </c>
      <c r="G10" s="8">
        <v>255930</v>
      </c>
      <c r="H10" s="8">
        <v>136583</v>
      </c>
    </row>
    <row r="11" spans="1:8" ht="11.25">
      <c r="A11" s="7" t="s">
        <v>12</v>
      </c>
      <c r="B11" s="7"/>
      <c r="C11" s="8">
        <f aca="true" t="shared" si="0" ref="C11:H11">C12+C13</f>
        <v>40308</v>
      </c>
      <c r="D11" s="8">
        <f t="shared" si="0"/>
        <v>43778</v>
      </c>
      <c r="E11" s="8">
        <f t="shared" si="0"/>
        <v>40341</v>
      </c>
      <c r="F11" s="8">
        <f t="shared" si="0"/>
        <v>77703</v>
      </c>
      <c r="G11" s="8">
        <f t="shared" si="0"/>
        <v>76115</v>
      </c>
      <c r="H11" s="8">
        <f t="shared" si="0"/>
        <v>168456</v>
      </c>
    </row>
    <row r="12" spans="1:8" ht="11.25">
      <c r="A12" s="7"/>
      <c r="B12" s="7" t="s">
        <v>13</v>
      </c>
      <c r="C12" s="8"/>
      <c r="D12" s="8"/>
      <c r="E12" s="8">
        <v>0</v>
      </c>
      <c r="F12" s="8">
        <v>0</v>
      </c>
      <c r="G12" s="8">
        <v>0</v>
      </c>
      <c r="H12" s="8">
        <v>0</v>
      </c>
    </row>
    <row r="13" spans="1:8" ht="11.25">
      <c r="A13" s="7"/>
      <c r="B13" s="7" t="s">
        <v>14</v>
      </c>
      <c r="C13" s="8">
        <v>40308</v>
      </c>
      <c r="D13" s="8">
        <v>43778</v>
      </c>
      <c r="E13" s="8">
        <v>40341</v>
      </c>
      <c r="F13" s="8">
        <v>77703</v>
      </c>
      <c r="G13" s="8">
        <v>76115</v>
      </c>
      <c r="H13" s="8">
        <v>168456</v>
      </c>
    </row>
    <row r="14" spans="1:8" ht="11.25">
      <c r="A14" s="7" t="s">
        <v>15</v>
      </c>
      <c r="B14" s="7"/>
      <c r="C14" s="8">
        <v>51725</v>
      </c>
      <c r="D14" s="8">
        <v>55527</v>
      </c>
      <c r="E14" s="8">
        <v>71799</v>
      </c>
      <c r="F14" s="8">
        <v>79731</v>
      </c>
      <c r="G14" s="8">
        <v>108529</v>
      </c>
      <c r="H14" s="8">
        <v>114453</v>
      </c>
    </row>
    <row r="15" spans="1:8" ht="11.25">
      <c r="A15" s="7" t="s">
        <v>16</v>
      </c>
      <c r="B15" s="7"/>
      <c r="C15" s="8">
        <f aca="true" t="shared" si="1" ref="C15:H15">C16+C20</f>
        <v>157284</v>
      </c>
      <c r="D15" s="8">
        <f t="shared" si="1"/>
        <v>171378</v>
      </c>
      <c r="E15" s="8">
        <f t="shared" si="1"/>
        <v>198310</v>
      </c>
      <c r="F15" s="8">
        <f t="shared" si="1"/>
        <v>227215</v>
      </c>
      <c r="G15" s="8">
        <f t="shared" si="1"/>
        <v>218443</v>
      </c>
      <c r="H15" s="8">
        <f t="shared" si="1"/>
        <v>206002</v>
      </c>
    </row>
    <row r="16" spans="1:8" ht="11.25">
      <c r="A16" s="7"/>
      <c r="B16" s="7" t="s">
        <v>13</v>
      </c>
      <c r="C16" s="8">
        <f aca="true" t="shared" si="2" ref="C16:H16">SUM(C17:C19)</f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</row>
    <row r="17" spans="1:8" ht="11.25">
      <c r="A17" s="7"/>
      <c r="B17" s="7" t="s">
        <v>17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1.25">
      <c r="A18" s="7"/>
      <c r="B18" s="7" t="s">
        <v>18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1.25">
      <c r="A19" s="7"/>
      <c r="B19" s="7" t="s">
        <v>19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1.25">
      <c r="A20" s="7"/>
      <c r="B20" s="7" t="s">
        <v>14</v>
      </c>
      <c r="C20" s="8">
        <f aca="true" t="shared" si="3" ref="C20:H20">SUM(C21:C22)</f>
        <v>157284</v>
      </c>
      <c r="D20" s="8">
        <f t="shared" si="3"/>
        <v>171378</v>
      </c>
      <c r="E20" s="8">
        <f t="shared" si="3"/>
        <v>198310</v>
      </c>
      <c r="F20" s="8">
        <f t="shared" si="3"/>
        <v>227215</v>
      </c>
      <c r="G20" s="8">
        <f t="shared" si="3"/>
        <v>218443</v>
      </c>
      <c r="H20" s="8">
        <f t="shared" si="3"/>
        <v>206002</v>
      </c>
    </row>
    <row r="21" spans="1:8" ht="11.25">
      <c r="A21" s="7"/>
      <c r="B21" s="7" t="s">
        <v>18</v>
      </c>
      <c r="C21" s="8">
        <f>4407+1600</f>
        <v>6007</v>
      </c>
      <c r="D21" s="8">
        <v>4061</v>
      </c>
      <c r="E21" s="8">
        <v>3493</v>
      </c>
      <c r="F21" s="8">
        <v>3529</v>
      </c>
      <c r="G21" s="8">
        <v>3422</v>
      </c>
      <c r="H21" s="8">
        <v>1113</v>
      </c>
    </row>
    <row r="22" spans="1:8" ht="11.25">
      <c r="A22" s="7"/>
      <c r="B22" s="7" t="s">
        <v>19</v>
      </c>
      <c r="C22" s="8">
        <f>44127+107150</f>
        <v>151277</v>
      </c>
      <c r="D22" s="8">
        <v>167317</v>
      </c>
      <c r="E22" s="8">
        <v>194817</v>
      </c>
      <c r="F22" s="8">
        <v>223686</v>
      </c>
      <c r="G22" s="8">
        <v>215021</v>
      </c>
      <c r="H22" s="8">
        <v>204889</v>
      </c>
    </row>
    <row r="23" spans="1:8" ht="11.25">
      <c r="A23" s="3" t="s">
        <v>20</v>
      </c>
      <c r="B23" s="3"/>
      <c r="C23" s="9">
        <v>108667</v>
      </c>
      <c r="D23" s="9">
        <v>106983</v>
      </c>
      <c r="E23" s="9">
        <v>104175</v>
      </c>
      <c r="F23" s="9">
        <v>101192</v>
      </c>
      <c r="G23" s="9">
        <v>97783</v>
      </c>
      <c r="H23" s="9">
        <v>84150</v>
      </c>
    </row>
    <row r="24" spans="1:8" ht="11.25">
      <c r="A24" s="5" t="s">
        <v>21</v>
      </c>
      <c r="B24" s="7"/>
      <c r="C24" s="8"/>
      <c r="D24" s="8"/>
      <c r="E24" s="8"/>
      <c r="F24" s="8"/>
      <c r="G24" s="8"/>
      <c r="H24" s="8"/>
    </row>
    <row r="25" spans="1:8" ht="11.25">
      <c r="A25" s="7" t="s">
        <v>10</v>
      </c>
      <c r="B25" s="7"/>
      <c r="C25" s="8">
        <f>+(C9+G9)/2</f>
        <v>432661</v>
      </c>
      <c r="D25" s="8">
        <f>+(408315+D9)/2</f>
        <v>401328.5</v>
      </c>
      <c r="E25" s="8">
        <f>+(424004+E9)/2</f>
        <v>424352</v>
      </c>
      <c r="F25" s="8">
        <f>+(445249+F9)/2</f>
        <v>462112.5</v>
      </c>
      <c r="G25" s="8">
        <f>(G9+H9)/2</f>
        <v>451488.5</v>
      </c>
      <c r="H25" s="8">
        <f>(H9+435114)/2</f>
        <v>435159.5</v>
      </c>
    </row>
    <row r="26" spans="1:8" ht="11.25">
      <c r="A26" s="7" t="s">
        <v>22</v>
      </c>
      <c r="B26" s="7"/>
      <c r="C26" s="8">
        <f aca="true" t="shared" si="4" ref="C26:H26">C27+C28</f>
        <v>138338.5</v>
      </c>
      <c r="D26" s="8">
        <f t="shared" si="4"/>
        <v>133232</v>
      </c>
      <c r="E26" s="8">
        <f t="shared" si="4"/>
        <v>163783</v>
      </c>
      <c r="F26" s="8">
        <f t="shared" si="4"/>
        <v>194762</v>
      </c>
      <c r="G26" s="8">
        <f t="shared" si="4"/>
        <v>233776.5</v>
      </c>
      <c r="H26" s="8">
        <f t="shared" si="4"/>
        <v>209157</v>
      </c>
    </row>
    <row r="27" spans="1:8" ht="11.25">
      <c r="A27" s="7"/>
      <c r="B27" s="7" t="s">
        <v>12</v>
      </c>
      <c r="C27" s="8">
        <f>+(C11+G11)/2</f>
        <v>58211.5</v>
      </c>
      <c r="D27" s="8">
        <f>+(64197+D11)/2</f>
        <v>53987.5</v>
      </c>
      <c r="E27" s="8">
        <f>+(112882+E11)/2</f>
        <v>76611.5</v>
      </c>
      <c r="F27" s="8">
        <f>+(126003+F11)/2</f>
        <v>101853</v>
      </c>
      <c r="G27" s="8">
        <f>(G11+H11)/2</f>
        <v>122285.5</v>
      </c>
      <c r="H27" s="8">
        <f>(H11+30387)/2</f>
        <v>99421.5</v>
      </c>
    </row>
    <row r="28" spans="1:8" ht="11.25">
      <c r="A28" s="7"/>
      <c r="B28" s="7" t="s">
        <v>15</v>
      </c>
      <c r="C28" s="8">
        <f>+(C14+G14)/2</f>
        <v>80127</v>
      </c>
      <c r="D28" s="8">
        <f>+(102962+D14)/2</f>
        <v>79244.5</v>
      </c>
      <c r="E28" s="8">
        <f>+(102544+E14)/2</f>
        <v>87171.5</v>
      </c>
      <c r="F28" s="8">
        <f>+(106087+F14)/2</f>
        <v>92909</v>
      </c>
      <c r="G28" s="8">
        <f>(G14+H14)/2</f>
        <v>111491</v>
      </c>
      <c r="H28" s="8">
        <f>(H14+105018)/2</f>
        <v>109735.5</v>
      </c>
    </row>
    <row r="29" spans="1:8" ht="11.25">
      <c r="A29" s="3" t="s">
        <v>20</v>
      </c>
      <c r="B29" s="3"/>
      <c r="C29" s="9">
        <f>+(C23+G23)/2</f>
        <v>103225</v>
      </c>
      <c r="D29" s="9">
        <f>+(93117+D23)/2</f>
        <v>100050</v>
      </c>
      <c r="E29" s="9">
        <f>+(89931+E23)/2</f>
        <v>97053</v>
      </c>
      <c r="F29" s="9">
        <f>+(87045+F23)/2</f>
        <v>94118.5</v>
      </c>
      <c r="G29" s="9">
        <f>(G23+H23)/2</f>
        <v>90966.5</v>
      </c>
      <c r="H29" s="9">
        <f>(H23+72661)/2</f>
        <v>78405.5</v>
      </c>
    </row>
    <row r="30" spans="1:8" ht="11.25">
      <c r="A30" s="5" t="s">
        <v>23</v>
      </c>
      <c r="B30" s="7"/>
      <c r="C30" s="7"/>
      <c r="D30" s="7"/>
      <c r="E30" s="7"/>
      <c r="F30" s="7"/>
      <c r="G30" s="7"/>
      <c r="H30" s="7"/>
    </row>
    <row r="31" spans="1:8" ht="11.25">
      <c r="A31" s="7" t="s">
        <v>24</v>
      </c>
      <c r="B31" s="7"/>
      <c r="C31" s="8">
        <v>33210</v>
      </c>
      <c r="D31" s="8">
        <v>25424</v>
      </c>
      <c r="E31" s="8">
        <v>17308</v>
      </c>
      <c r="F31" s="8">
        <v>8967</v>
      </c>
      <c r="G31" s="8">
        <v>28945</v>
      </c>
      <c r="H31" s="8">
        <v>28687</v>
      </c>
    </row>
    <row r="32" spans="1:8" ht="11.25">
      <c r="A32" s="7" t="s">
        <v>25</v>
      </c>
      <c r="B32" s="7"/>
      <c r="C32" s="8">
        <v>20940</v>
      </c>
      <c r="D32" s="8">
        <v>15715</v>
      </c>
      <c r="E32" s="8">
        <v>10601</v>
      </c>
      <c r="F32" s="8">
        <v>5500</v>
      </c>
      <c r="G32" s="8">
        <v>15755</v>
      </c>
      <c r="H32" s="8">
        <v>17757</v>
      </c>
    </row>
    <row r="33" spans="1:8" ht="11.25">
      <c r="A33" s="7" t="s">
        <v>26</v>
      </c>
      <c r="B33" s="7"/>
      <c r="C33" s="8">
        <f aca="true" t="shared" si="5" ref="C33:H33">C31-C32</f>
        <v>12270</v>
      </c>
      <c r="D33" s="8">
        <f t="shared" si="5"/>
        <v>9709</v>
      </c>
      <c r="E33" s="8">
        <f t="shared" si="5"/>
        <v>6707</v>
      </c>
      <c r="F33" s="8">
        <f t="shared" si="5"/>
        <v>3467</v>
      </c>
      <c r="G33" s="8">
        <f t="shared" si="5"/>
        <v>13190</v>
      </c>
      <c r="H33" s="8">
        <f t="shared" si="5"/>
        <v>10930</v>
      </c>
    </row>
    <row r="34" spans="1:8" ht="11.25">
      <c r="A34" s="7" t="s">
        <v>27</v>
      </c>
      <c r="B34" s="7"/>
      <c r="C34" s="8">
        <v>2301</v>
      </c>
      <c r="D34" s="8">
        <v>2212</v>
      </c>
      <c r="E34" s="8">
        <v>1741</v>
      </c>
      <c r="F34" s="8">
        <v>1457</v>
      </c>
      <c r="G34" s="8">
        <v>10213</v>
      </c>
      <c r="H34" s="8">
        <v>1396</v>
      </c>
    </row>
    <row r="35" spans="1:8" ht="11.25">
      <c r="A35" s="7" t="s">
        <v>28</v>
      </c>
      <c r="B35" s="7"/>
      <c r="C35" s="8">
        <f aca="true" t="shared" si="6" ref="C35:H35">C33+C34</f>
        <v>14571</v>
      </c>
      <c r="D35" s="8">
        <f t="shared" si="6"/>
        <v>11921</v>
      </c>
      <c r="E35" s="8">
        <f t="shared" si="6"/>
        <v>8448</v>
      </c>
      <c r="F35" s="8">
        <f t="shared" si="6"/>
        <v>4924</v>
      </c>
      <c r="G35" s="8">
        <f t="shared" si="6"/>
        <v>23403</v>
      </c>
      <c r="H35" s="8">
        <f t="shared" si="6"/>
        <v>12326</v>
      </c>
    </row>
    <row r="36" spans="1:8" ht="11.25">
      <c r="A36" s="7" t="s">
        <v>29</v>
      </c>
      <c r="B36" s="7"/>
      <c r="C36" s="8">
        <v>3687</v>
      </c>
      <c r="D36" s="8">
        <v>2719</v>
      </c>
      <c r="E36" s="8">
        <v>2055</v>
      </c>
      <c r="F36" s="8">
        <v>1513</v>
      </c>
      <c r="G36" s="8">
        <v>9772</v>
      </c>
      <c r="H36" s="8">
        <v>2561</v>
      </c>
    </row>
    <row r="37" spans="1:8" ht="11.25">
      <c r="A37" s="7" t="s">
        <v>30</v>
      </c>
      <c r="B37" s="7"/>
      <c r="C37" s="8">
        <f aca="true" t="shared" si="7" ref="C37:H37">C35-C36</f>
        <v>10884</v>
      </c>
      <c r="D37" s="8">
        <f t="shared" si="7"/>
        <v>9202</v>
      </c>
      <c r="E37" s="8">
        <f t="shared" si="7"/>
        <v>6393</v>
      </c>
      <c r="F37" s="8">
        <f t="shared" si="7"/>
        <v>3411</v>
      </c>
      <c r="G37" s="8">
        <f t="shared" si="7"/>
        <v>13631</v>
      </c>
      <c r="H37" s="8">
        <f t="shared" si="7"/>
        <v>9765</v>
      </c>
    </row>
    <row r="38" spans="1:8" ht="11.25">
      <c r="A38" s="3" t="s">
        <v>31</v>
      </c>
      <c r="B38" s="3"/>
      <c r="C38" s="9">
        <v>10884</v>
      </c>
      <c r="D38" s="9">
        <v>9202</v>
      </c>
      <c r="E38" s="9">
        <v>6393</v>
      </c>
      <c r="F38" s="9">
        <v>3411</v>
      </c>
      <c r="G38" s="9">
        <v>13631</v>
      </c>
      <c r="H38" s="9">
        <v>9765</v>
      </c>
    </row>
    <row r="39" spans="1:8" ht="11.25">
      <c r="A39" s="5" t="s">
        <v>32</v>
      </c>
      <c r="B39" s="7"/>
      <c r="C39" s="7"/>
      <c r="D39" s="7"/>
      <c r="E39" s="7"/>
      <c r="F39" s="7"/>
      <c r="G39" s="7"/>
      <c r="H39" s="7"/>
    </row>
    <row r="40" spans="1:8" ht="11.25">
      <c r="A40" s="7" t="s">
        <v>33</v>
      </c>
      <c r="B40" s="7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1.25">
      <c r="A41" s="7" t="s">
        <v>34</v>
      </c>
      <c r="B41" s="7"/>
      <c r="C41" s="8">
        <v>54</v>
      </c>
      <c r="D41" s="8">
        <v>54</v>
      </c>
      <c r="E41" s="8">
        <v>54</v>
      </c>
      <c r="F41" s="8">
        <v>54</v>
      </c>
      <c r="G41" s="8">
        <v>54</v>
      </c>
      <c r="H41" s="8">
        <v>1000</v>
      </c>
    </row>
    <row r="42" spans="1:8" ht="11.25">
      <c r="A42" s="7" t="s">
        <v>35</v>
      </c>
      <c r="B42" s="7"/>
      <c r="C42" s="10">
        <f aca="true" t="shared" si="8" ref="C42:H42">C40/C11</f>
        <v>0</v>
      </c>
      <c r="D42" s="10">
        <f t="shared" si="8"/>
        <v>0</v>
      </c>
      <c r="E42" s="10">
        <f t="shared" si="8"/>
        <v>0</v>
      </c>
      <c r="F42" s="10">
        <f t="shared" si="8"/>
        <v>0</v>
      </c>
      <c r="G42" s="10">
        <f t="shared" si="8"/>
        <v>0</v>
      </c>
      <c r="H42" s="10">
        <f t="shared" si="8"/>
        <v>0</v>
      </c>
    </row>
    <row r="43" spans="1:8" ht="11.25">
      <c r="A43" s="7" t="s">
        <v>36</v>
      </c>
      <c r="B43" s="7"/>
      <c r="C43" s="10">
        <f aca="true" t="shared" si="9" ref="C43:H43">C41/C11</f>
        <v>0.0013396844298898482</v>
      </c>
      <c r="D43" s="10">
        <f t="shared" si="9"/>
        <v>0.0012334962766686463</v>
      </c>
      <c r="E43" s="10">
        <f t="shared" si="9"/>
        <v>0.0013385885327582361</v>
      </c>
      <c r="F43" s="10">
        <f t="shared" si="9"/>
        <v>0.0006949538627852207</v>
      </c>
      <c r="G43" s="10">
        <f t="shared" si="9"/>
        <v>0.0007094528016816659</v>
      </c>
      <c r="H43" s="10">
        <f t="shared" si="9"/>
        <v>0.005936268224343449</v>
      </c>
    </row>
    <row r="44" spans="1:8" ht="11.25">
      <c r="A44" s="11" t="s">
        <v>37</v>
      </c>
      <c r="B44" s="7"/>
      <c r="C44" s="10">
        <f aca="true" t="shared" si="10" ref="C44:H44">C41/C11</f>
        <v>0.0013396844298898482</v>
      </c>
      <c r="D44" s="10">
        <f t="shared" si="10"/>
        <v>0.0012334962766686463</v>
      </c>
      <c r="E44" s="10">
        <f t="shared" si="10"/>
        <v>0.0013385885327582361</v>
      </c>
      <c r="F44" s="10">
        <f t="shared" si="10"/>
        <v>0.0006949538627852207</v>
      </c>
      <c r="G44" s="10">
        <f t="shared" si="10"/>
        <v>0.0007094528016816659</v>
      </c>
      <c r="H44" s="10">
        <f t="shared" si="10"/>
        <v>0.005936268224343449</v>
      </c>
    </row>
    <row r="45" spans="1:8" ht="11.25">
      <c r="A45" s="7" t="s">
        <v>38</v>
      </c>
      <c r="B45" s="7"/>
      <c r="C45" s="10">
        <f>590/C11</f>
        <v>0.014637292845092785</v>
      </c>
      <c r="D45" s="10">
        <f>54/D11</f>
        <v>0.0012334962766686463</v>
      </c>
      <c r="E45" s="10">
        <f>27/E11</f>
        <v>0.0006692942663791181</v>
      </c>
      <c r="F45" s="10">
        <f>13/F11</f>
        <v>0.00016730370770755312</v>
      </c>
      <c r="G45" s="10">
        <f>13/G11</f>
        <v>0.0001707941929974381</v>
      </c>
      <c r="H45" s="10">
        <f>1000/H11</f>
        <v>0.005936268224343449</v>
      </c>
    </row>
    <row r="46" spans="1:8" ht="11.25">
      <c r="A46" s="3" t="s">
        <v>39</v>
      </c>
      <c r="B46" s="3"/>
      <c r="C46" s="12">
        <f>590/C41</f>
        <v>10.925925925925926</v>
      </c>
      <c r="D46" s="12">
        <f>54/D41</f>
        <v>1</v>
      </c>
      <c r="E46" s="12">
        <f>27/E41</f>
        <v>0.5</v>
      </c>
      <c r="F46" s="12">
        <f>13/F41</f>
        <v>0.24074074074074073</v>
      </c>
      <c r="G46" s="12">
        <f>13/G41</f>
        <v>0.24074074074074073</v>
      </c>
      <c r="H46" s="12">
        <f>1000/H41</f>
        <v>1</v>
      </c>
    </row>
    <row r="47" spans="1:8" ht="11.25">
      <c r="A47" s="5" t="s">
        <v>40</v>
      </c>
      <c r="B47" s="7"/>
      <c r="C47" s="7"/>
      <c r="D47" s="7"/>
      <c r="E47" s="7"/>
      <c r="F47" s="7"/>
      <c r="G47" s="7"/>
      <c r="H47" s="7"/>
    </row>
    <row r="48" spans="1:8" ht="11.25">
      <c r="A48" s="7" t="s">
        <v>41</v>
      </c>
      <c r="B48" s="7"/>
      <c r="C48" s="10">
        <f aca="true" t="shared" si="11" ref="C48:H48">+C29/C25</f>
        <v>0.23858170715641114</v>
      </c>
      <c r="D48" s="10">
        <f t="shared" si="11"/>
        <v>0.24929702226480302</v>
      </c>
      <c r="E48" s="10">
        <f t="shared" si="11"/>
        <v>0.22870871352085062</v>
      </c>
      <c r="F48" s="10">
        <f t="shared" si="11"/>
        <v>0.20367010197733235</v>
      </c>
      <c r="G48" s="10">
        <f t="shared" si="11"/>
        <v>0.2014813223371138</v>
      </c>
      <c r="H48" s="10">
        <f t="shared" si="11"/>
        <v>0.18017646403215373</v>
      </c>
    </row>
    <row r="49" spans="1:8" ht="11.25">
      <c r="A49" s="3" t="s">
        <v>42</v>
      </c>
      <c r="B49" s="3"/>
      <c r="C49" s="12">
        <f aca="true" t="shared" si="12" ref="C49:H49">+C29/C26</f>
        <v>0.7461769500175295</v>
      </c>
      <c r="D49" s="12">
        <f t="shared" si="12"/>
        <v>0.7509457187462472</v>
      </c>
      <c r="E49" s="12">
        <f t="shared" si="12"/>
        <v>0.5925706575163479</v>
      </c>
      <c r="F49" s="12">
        <f t="shared" si="12"/>
        <v>0.4832487856974153</v>
      </c>
      <c r="G49" s="12">
        <f t="shared" si="12"/>
        <v>0.38911738348379754</v>
      </c>
      <c r="H49" s="12">
        <f t="shared" si="12"/>
        <v>0.374864336359768</v>
      </c>
    </row>
    <row r="50" spans="1:8" ht="11.25">
      <c r="A50" s="5" t="s">
        <v>43</v>
      </c>
      <c r="B50" s="7"/>
      <c r="C50" s="7"/>
      <c r="D50" s="7"/>
      <c r="E50" s="7"/>
      <c r="F50" s="7"/>
      <c r="G50" s="7"/>
      <c r="H50" s="7"/>
    </row>
    <row r="51" spans="1:8" ht="11.25">
      <c r="A51" s="7" t="s">
        <v>44</v>
      </c>
      <c r="B51" s="7"/>
      <c r="C51" s="10">
        <f aca="true" t="shared" si="13" ref="C51:H51">C10/C15</f>
        <v>1.7904300501004553</v>
      </c>
      <c r="D51" s="10">
        <f t="shared" si="13"/>
        <v>1.592934915800161</v>
      </c>
      <c r="E51" s="10">
        <f t="shared" si="13"/>
        <v>1.4502849074681055</v>
      </c>
      <c r="F51" s="10">
        <f t="shared" si="13"/>
        <v>1.3051251017758512</v>
      </c>
      <c r="G51" s="10">
        <f t="shared" si="13"/>
        <v>1.171609985213534</v>
      </c>
      <c r="H51" s="10">
        <f t="shared" si="13"/>
        <v>0.6630178347783031</v>
      </c>
    </row>
    <row r="52" spans="1:8" ht="11.25">
      <c r="A52" s="7" t="s">
        <v>45</v>
      </c>
      <c r="B52" s="7"/>
      <c r="C52" s="10">
        <f aca="true" t="shared" si="14" ref="C52:H52">C10/C9</f>
        <v>0.7083536662055088</v>
      </c>
      <c r="D52" s="10">
        <f t="shared" si="14"/>
        <v>0.692277261869139</v>
      </c>
      <c r="E52" s="10">
        <f t="shared" si="14"/>
        <v>0.6771980221332705</v>
      </c>
      <c r="F52" s="10">
        <f t="shared" si="14"/>
        <v>0.6191207910208445</v>
      </c>
      <c r="G52" s="10">
        <f t="shared" si="14"/>
        <v>0.5471255226905416</v>
      </c>
      <c r="H52" s="10">
        <f t="shared" si="14"/>
        <v>0.31383600831791914</v>
      </c>
    </row>
    <row r="53" spans="1:8" ht="11.25">
      <c r="A53" s="3" t="s">
        <v>46</v>
      </c>
      <c r="B53" s="3"/>
      <c r="C53" s="12">
        <f aca="true" t="shared" si="15" ref="C53:H53">(C10+C14)/C15</f>
        <v>2.1192937616032146</v>
      </c>
      <c r="D53" s="12">
        <f t="shared" si="15"/>
        <v>1.9169379967090292</v>
      </c>
      <c r="E53" s="12">
        <f t="shared" si="15"/>
        <v>1.812339266804498</v>
      </c>
      <c r="F53" s="12">
        <f t="shared" si="15"/>
        <v>1.6560306317804723</v>
      </c>
      <c r="G53" s="12">
        <f t="shared" si="15"/>
        <v>1.668439821829951</v>
      </c>
      <c r="H53" s="12">
        <f t="shared" si="15"/>
        <v>1.2186095280628344</v>
      </c>
    </row>
    <row r="54" spans="1:8" ht="11.25">
      <c r="A54" s="5" t="s">
        <v>47</v>
      </c>
      <c r="B54" s="7"/>
      <c r="C54" s="7"/>
      <c r="D54" s="7"/>
      <c r="E54" s="7"/>
      <c r="F54" s="7"/>
      <c r="G54" s="7"/>
      <c r="H54" s="7"/>
    </row>
    <row r="55" spans="1:8" ht="11.25">
      <c r="A55" s="7" t="s">
        <v>48</v>
      </c>
      <c r="B55" s="7"/>
      <c r="C55" s="13">
        <f>C38/C26</f>
        <v>0.07867657954943852</v>
      </c>
      <c r="D55" s="13">
        <f>(D38/0.75)/D26</f>
        <v>0.0920899883911773</v>
      </c>
      <c r="E55" s="13">
        <f>(E38/0.5)/E26</f>
        <v>0.07806671022023043</v>
      </c>
      <c r="F55" s="10">
        <f>((F38)/0.25)/F26</f>
        <v>0.07005473346956799</v>
      </c>
      <c r="G55" s="10">
        <f>G38/G26</f>
        <v>0.05830782820343362</v>
      </c>
      <c r="H55" s="10">
        <f>H38/H26</f>
        <v>0.04668741662961316</v>
      </c>
    </row>
    <row r="56" spans="1:8" ht="11.25">
      <c r="A56" s="7" t="s">
        <v>49</v>
      </c>
      <c r="B56" s="7"/>
      <c r="C56" s="13">
        <f>C38/C25</f>
        <v>0.025155953506324814</v>
      </c>
      <c r="D56" s="13">
        <f>(D38/0.75)/D25</f>
        <v>0.03057179675336622</v>
      </c>
      <c r="E56" s="13">
        <f>(E38/0.5)/E25</f>
        <v>0.030130646255938465</v>
      </c>
      <c r="F56" s="10">
        <f>((F38)/0.25)/F25</f>
        <v>0.029525277935567636</v>
      </c>
      <c r="G56" s="10">
        <f>G38/G25</f>
        <v>0.03019124518121724</v>
      </c>
      <c r="H56" s="10">
        <f>H38/H25</f>
        <v>0.02244004784452597</v>
      </c>
    </row>
    <row r="57" spans="1:8" ht="11.25">
      <c r="A57" s="7" t="s">
        <v>50</v>
      </c>
      <c r="B57" s="7"/>
      <c r="C57" s="13">
        <f>+C38/C29</f>
        <v>0.1054395737466699</v>
      </c>
      <c r="D57" s="13">
        <f>(D38/0.75)/D29</f>
        <v>0.12263201732467101</v>
      </c>
      <c r="E57" s="13">
        <f>(E38/0.5)/E29</f>
        <v>0.13174245000154555</v>
      </c>
      <c r="F57" s="10">
        <f>((F38)/0.25)/F29</f>
        <v>0.14496618624393717</v>
      </c>
      <c r="G57" s="10">
        <f>G38/G29</f>
        <v>0.14984637201607184</v>
      </c>
      <c r="H57" s="10">
        <f>H38/H29</f>
        <v>0.12454483422719069</v>
      </c>
    </row>
    <row r="58" spans="1:8" ht="11.25">
      <c r="A58" s="7" t="s">
        <v>51</v>
      </c>
      <c r="B58" s="7"/>
      <c r="C58" s="13">
        <f>C31/C25</f>
        <v>0.07675755383545085</v>
      </c>
      <c r="D58" s="13">
        <f>(D31/0.75)/D25</f>
        <v>0.084466133520711</v>
      </c>
      <c r="E58" s="13">
        <f>(E31/0.5)/E25</f>
        <v>0.08157378779880854</v>
      </c>
      <c r="F58" s="10">
        <f>((F31)/0.25)/F25</f>
        <v>0.07761746328004544</v>
      </c>
      <c r="G58" s="10">
        <f>G31/G25</f>
        <v>0.06411016005944781</v>
      </c>
      <c r="H58" s="10">
        <f>H31/H25</f>
        <v>0.0659229546867298</v>
      </c>
    </row>
    <row r="59" spans="1:8" ht="11.25">
      <c r="A59" s="7" t="s">
        <v>52</v>
      </c>
      <c r="B59" s="7"/>
      <c r="C59" s="13">
        <f>C32/C25</f>
        <v>0.04839816854303947</v>
      </c>
      <c r="D59" s="13">
        <f>(D32/0.75)/D25</f>
        <v>0.05220993109966856</v>
      </c>
      <c r="E59" s="13">
        <f>(E32/0.5)/E25</f>
        <v>0.04996323806651082</v>
      </c>
      <c r="F59" s="10">
        <f>((F32)/0.25)/F25</f>
        <v>0.04760745489464146</v>
      </c>
      <c r="G59" s="10">
        <f>G32/G25</f>
        <v>0.03489568394322336</v>
      </c>
      <c r="H59" s="10">
        <f>H32/H25</f>
        <v>0.04080572755506889</v>
      </c>
    </row>
    <row r="60" spans="1:8" ht="11.25">
      <c r="A60" s="7" t="s">
        <v>53</v>
      </c>
      <c r="B60" s="7"/>
      <c r="C60" s="13">
        <f>C33/C25</f>
        <v>0.02835938529241138</v>
      </c>
      <c r="D60" s="13">
        <f>(D33/0.75)/D25</f>
        <v>0.03225620242104245</v>
      </c>
      <c r="E60" s="13">
        <f>(E33/0.5)/E25</f>
        <v>0.03161054973229772</v>
      </c>
      <c r="F60" s="10">
        <f>((F33)/0.25)/F25</f>
        <v>0.030010008385403988</v>
      </c>
      <c r="G60" s="10">
        <f>G33/G25</f>
        <v>0.029214476116224443</v>
      </c>
      <c r="H60" s="10">
        <f>H33/H25</f>
        <v>0.02511722713166092</v>
      </c>
    </row>
    <row r="61" spans="1:8" ht="11.25">
      <c r="A61" s="7" t="s">
        <v>54</v>
      </c>
      <c r="B61" s="7"/>
      <c r="C61" s="13">
        <f>C36/C35</f>
        <v>0.2530368540251184</v>
      </c>
      <c r="D61" s="13">
        <f>(D36/0.75)/(D35/0.75)</f>
        <v>0.22808489220702963</v>
      </c>
      <c r="E61" s="13">
        <f>(E36/0.5)/(E35/0.5)</f>
        <v>0.2432528409090909</v>
      </c>
      <c r="F61" s="10">
        <f>(F36/0.25)/(F35/0.25)</f>
        <v>0.3072705117790414</v>
      </c>
      <c r="G61" s="10">
        <f>G36/G35</f>
        <v>0.4175533051318207</v>
      </c>
      <c r="H61" s="10">
        <f>H36/H35</f>
        <v>0.20777218886905727</v>
      </c>
    </row>
    <row r="62" spans="1:8" ht="11.25">
      <c r="A62" s="3" t="s">
        <v>55</v>
      </c>
      <c r="B62" s="3"/>
      <c r="C62" s="14">
        <f>C34/C25</f>
        <v>0.005318251471706486</v>
      </c>
      <c r="D62" s="14">
        <f>(D34/0.75)/D25</f>
        <v>0.007348925713806354</v>
      </c>
      <c r="E62" s="14">
        <f>(E34/0.5)/E25</f>
        <v>0.00820545207752055</v>
      </c>
      <c r="F62" s="12">
        <f>(F34/0.25)/F25</f>
        <v>0.01261164759663502</v>
      </c>
      <c r="G62" s="12">
        <f>G34/G25</f>
        <v>0.022620731203563324</v>
      </c>
      <c r="H62" s="12">
        <f>H34/H25</f>
        <v>0.003208019128618357</v>
      </c>
    </row>
    <row r="63" spans="1:8" ht="11.25">
      <c r="A63" s="5" t="s">
        <v>56</v>
      </c>
      <c r="B63" s="7"/>
      <c r="C63" s="7"/>
      <c r="D63" s="7"/>
      <c r="E63" s="7"/>
      <c r="F63" s="7"/>
      <c r="G63" s="7"/>
      <c r="H63" s="7"/>
    </row>
    <row r="64" spans="1:8" ht="11.25">
      <c r="A64" s="7" t="s">
        <v>57</v>
      </c>
      <c r="B64" s="7"/>
      <c r="C64" s="8">
        <f>22+2</f>
        <v>24</v>
      </c>
      <c r="D64" s="8">
        <f>22+2</f>
        <v>24</v>
      </c>
      <c r="E64" s="8">
        <f>2+23</f>
        <v>25</v>
      </c>
      <c r="F64" s="8">
        <v>24</v>
      </c>
      <c r="G64" s="8">
        <v>24</v>
      </c>
      <c r="H64" s="8">
        <v>20</v>
      </c>
    </row>
    <row r="65" spans="1:8" ht="11.25">
      <c r="A65" s="7" t="s">
        <v>58</v>
      </c>
      <c r="B65" s="7"/>
      <c r="C65" s="8">
        <v>1</v>
      </c>
      <c r="D65" s="8">
        <v>1</v>
      </c>
      <c r="E65" s="8">
        <v>1</v>
      </c>
      <c r="F65" s="8">
        <v>1</v>
      </c>
      <c r="G65" s="8">
        <v>1</v>
      </c>
      <c r="H65" s="8">
        <v>1</v>
      </c>
    </row>
    <row r="66" spans="1:8" ht="11.25">
      <c r="A66" s="7" t="s">
        <v>59</v>
      </c>
      <c r="B66" s="7"/>
      <c r="C66" s="8">
        <f aca="true" t="shared" si="16" ref="C66:H66">C11/C64</f>
        <v>1679.5</v>
      </c>
      <c r="D66" s="8">
        <f t="shared" si="16"/>
        <v>1824.0833333333333</v>
      </c>
      <c r="E66" s="8">
        <f t="shared" si="16"/>
        <v>1613.64</v>
      </c>
      <c r="F66" s="8">
        <f t="shared" si="16"/>
        <v>3237.625</v>
      </c>
      <c r="G66" s="8">
        <f t="shared" si="16"/>
        <v>3171.4583333333335</v>
      </c>
      <c r="H66" s="8">
        <f t="shared" si="16"/>
        <v>8422.8</v>
      </c>
    </row>
    <row r="67" spans="1:8" ht="11.25">
      <c r="A67" s="7" t="s">
        <v>60</v>
      </c>
      <c r="B67" s="7"/>
      <c r="C67" s="8">
        <f aca="true" t="shared" si="17" ref="C67:H67">+C15/C64</f>
        <v>6553.5</v>
      </c>
      <c r="D67" s="8">
        <f t="shared" si="17"/>
        <v>7140.75</v>
      </c>
      <c r="E67" s="8">
        <f t="shared" si="17"/>
        <v>7932.4</v>
      </c>
      <c r="F67" s="8">
        <f t="shared" si="17"/>
        <v>9467.291666666666</v>
      </c>
      <c r="G67" s="8">
        <f t="shared" si="17"/>
        <v>9101.791666666666</v>
      </c>
      <c r="H67" s="8">
        <f t="shared" si="17"/>
        <v>10300.1</v>
      </c>
    </row>
    <row r="68" spans="1:8" ht="11.25">
      <c r="A68" s="3" t="s">
        <v>61</v>
      </c>
      <c r="B68" s="3"/>
      <c r="C68" s="9">
        <f aca="true" t="shared" si="18" ref="C68:H68">+C38/C64</f>
        <v>453.5</v>
      </c>
      <c r="D68" s="9">
        <f t="shared" si="18"/>
        <v>383.4166666666667</v>
      </c>
      <c r="E68" s="9">
        <f t="shared" si="18"/>
        <v>255.72</v>
      </c>
      <c r="F68" s="9">
        <f t="shared" si="18"/>
        <v>142.125</v>
      </c>
      <c r="G68" s="9">
        <f t="shared" si="18"/>
        <v>567.9583333333334</v>
      </c>
      <c r="H68" s="9">
        <f t="shared" si="18"/>
        <v>488.25</v>
      </c>
    </row>
    <row r="69" spans="1:8" ht="11.25">
      <c r="A69" s="5" t="s">
        <v>62</v>
      </c>
      <c r="B69" s="7"/>
      <c r="C69" s="7"/>
      <c r="D69" s="7"/>
      <c r="E69" s="7"/>
      <c r="F69" s="7"/>
      <c r="G69" s="7"/>
      <c r="H69" s="7"/>
    </row>
    <row r="70" spans="1:8" ht="11.25">
      <c r="A70" s="7" t="s">
        <v>63</v>
      </c>
      <c r="B70" s="7"/>
      <c r="C70" s="10">
        <f>+(C9/G9)-1</f>
        <v>-0.15012014400177864</v>
      </c>
      <c r="D70" s="10">
        <f>+(D9/408315)-1</f>
        <v>-0.034221128295556125</v>
      </c>
      <c r="E70" s="10">
        <f>+(E9/424004)-1</f>
        <v>0.0016414939481703694</v>
      </c>
      <c r="F70" s="10">
        <f>+(F9/445249)-1</f>
        <v>0.07574862604969357</v>
      </c>
      <c r="G70" s="10">
        <f>+(G9/H9)-1</f>
        <v>0.0748314012936433</v>
      </c>
      <c r="H70" s="10">
        <f>(H9/435114)-1</f>
        <v>0.00020914059304000254</v>
      </c>
    </row>
    <row r="71" spans="1:8" ht="11.25">
      <c r="A71" s="7" t="s">
        <v>64</v>
      </c>
      <c r="B71" s="7"/>
      <c r="C71" s="10">
        <f aca="true" t="shared" si="19" ref="C71:H71">SUM(C72:C73)</f>
        <v>-0.4704328975891743</v>
      </c>
      <c r="D71" s="10">
        <f t="shared" si="19"/>
        <v>-0.3180784448113648</v>
      </c>
      <c r="E71" s="10">
        <f t="shared" si="19"/>
        <v>-0.6426299797135087</v>
      </c>
      <c r="F71" s="10">
        <f t="shared" si="19"/>
        <v>-0.38332420656651034</v>
      </c>
      <c r="G71" s="10">
        <f t="shared" si="19"/>
        <v>-0.5481609441040984</v>
      </c>
      <c r="H71" s="10">
        <f t="shared" si="19"/>
        <v>4.543686444861289</v>
      </c>
    </row>
    <row r="72" spans="1:8" ht="11.25">
      <c r="A72" s="7"/>
      <c r="B72" s="7" t="s">
        <v>13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ht="11.25">
      <c r="A73" s="7"/>
      <c r="B73" s="7" t="s">
        <v>14</v>
      </c>
      <c r="C73" s="10">
        <f>+(C13/G13)-1</f>
        <v>-0.4704328975891743</v>
      </c>
      <c r="D73" s="10">
        <f>+(D13/64198)-1</f>
        <v>-0.3180784448113648</v>
      </c>
      <c r="E73" s="10">
        <f>+(E13/112883)-1</f>
        <v>-0.6426299797135087</v>
      </c>
      <c r="F73" s="10">
        <f>+(F13/126003)-1</f>
        <v>-0.38332420656651034</v>
      </c>
      <c r="G73" s="10">
        <f>+(G13/H13)-1</f>
        <v>-0.5481609441040984</v>
      </c>
      <c r="H73" s="10">
        <f>+(H13/30387)-1</f>
        <v>4.543686444861289</v>
      </c>
    </row>
    <row r="74" spans="1:8" ht="11.25">
      <c r="A74" s="7" t="s">
        <v>65</v>
      </c>
      <c r="B74" s="7"/>
      <c r="C74" s="10">
        <f aca="true" t="shared" si="20" ref="C74:H74">SUM(C75:C76)</f>
        <v>-0.27997692761956205</v>
      </c>
      <c r="D74" s="10">
        <f t="shared" si="20"/>
        <v>-0.09633160556191245</v>
      </c>
      <c r="E74" s="10">
        <f t="shared" si="20"/>
        <v>0.013155541931693326</v>
      </c>
      <c r="F74" s="10">
        <f t="shared" si="20"/>
        <v>0.08208439891608199</v>
      </c>
      <c r="G74" s="10">
        <f t="shared" si="20"/>
        <v>0.06039261754740255</v>
      </c>
      <c r="H74" s="10">
        <f t="shared" si="20"/>
        <v>-0.4011656807313847</v>
      </c>
    </row>
    <row r="75" spans="1:8" ht="11.25">
      <c r="A75" s="7"/>
      <c r="B75" s="7" t="s">
        <v>13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</row>
    <row r="76" spans="1:8" ht="11.25">
      <c r="A76" s="7"/>
      <c r="B76" s="7" t="s">
        <v>14</v>
      </c>
      <c r="C76" s="10">
        <f>+(C20/G20)-1</f>
        <v>-0.27997692761956205</v>
      </c>
      <c r="D76" s="10">
        <f>+(D20/189647)-1</f>
        <v>-0.09633160556191245</v>
      </c>
      <c r="E76" s="10">
        <f>+(E20/195735)-1</f>
        <v>0.013155541931693326</v>
      </c>
      <c r="F76" s="10">
        <f>+(F20/209979)-1</f>
        <v>0.08208439891608199</v>
      </c>
      <c r="G76" s="10">
        <f>+(G20/H20)-1</f>
        <v>0.06039261754740255</v>
      </c>
      <c r="H76" s="10">
        <f>+(H20/344005)-1</f>
        <v>-0.4011656807313847</v>
      </c>
    </row>
    <row r="77" spans="1:8" ht="11.25">
      <c r="A77" s="7" t="s">
        <v>66</v>
      </c>
      <c r="B77" s="7"/>
      <c r="C77" s="15">
        <f>+(C23/G23)-1</f>
        <v>0.11130769152102093</v>
      </c>
      <c r="D77" s="15">
        <f>+(D23/93117)-1</f>
        <v>0.1489094365153516</v>
      </c>
      <c r="E77" s="15">
        <f>+(E23/89931)-1</f>
        <v>0.15838809754144845</v>
      </c>
      <c r="F77" s="15">
        <f>+(F23/87045)-1</f>
        <v>0.16252513067953367</v>
      </c>
      <c r="G77" s="15">
        <f>+(G23/H23)-1</f>
        <v>0.16200831847890673</v>
      </c>
      <c r="H77" s="15">
        <f>(H23/72661)-1</f>
        <v>0.1581178348770318</v>
      </c>
    </row>
    <row r="78" spans="1:8" ht="11.25">
      <c r="A78" s="3" t="s">
        <v>67</v>
      </c>
      <c r="B78" s="3"/>
      <c r="C78" s="12">
        <f>+(C38/G38)-1</f>
        <v>-0.20152593353385662</v>
      </c>
      <c r="D78" s="12">
        <f>+(D38/8968)-1</f>
        <v>0.026092774308652977</v>
      </c>
      <c r="E78" s="12">
        <f>+(E38/5781)-1</f>
        <v>0.10586403736377781</v>
      </c>
      <c r="F78" s="12">
        <f>+(F38/2896)-1</f>
        <v>0.1778314917127073</v>
      </c>
      <c r="G78" s="12">
        <f>+(G38/H38)-1</f>
        <v>0.3959037378392216</v>
      </c>
      <c r="H78" s="12">
        <f>+(H38/8302)-1</f>
        <v>0.17622259696458675</v>
      </c>
    </row>
    <row r="79" spans="1:8" ht="11.25">
      <c r="A79" s="7"/>
      <c r="B79" s="7"/>
      <c r="C79" s="7"/>
      <c r="D79" s="7"/>
      <c r="E79" s="7"/>
      <c r="F79" s="7"/>
      <c r="G79" s="7"/>
      <c r="H79" s="7"/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2002-05-02T20:03:38Z</cp:lastPrinted>
  <dcterms:created xsi:type="dcterms:W3CDTF">2002-03-08T15:48:05Z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