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Occidente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<sst xmlns="http://schemas.openxmlformats.org/spreadsheetml/2006/main" count="80" uniqueCount="68">
  <si>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19-18    BANCO DE OCCIDENTE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</si>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</sst>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1" xfId="19" applyNumberFormat="1" applyFont="1" applyFill="1" applyBorder="1" applyAlignment="1">
      <alignment/>
    </xf>
    <xf numFmtId="43" fontId="4" fillId="0" borderId="0" xfId="15" applyFont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11.421875" defaultRowHeight="12.75"/>
  <cols>
    <col min="1" max="1" width="3.7109375" style="1" customWidth="1"/>
    <col min="2" max="2" width="36.140625" style="1" customWidth="1"/>
    <col min="3" max="3" width="10.8515625" style="1" customWidth="1"/>
    <col min="4" max="4" width="8.421875" style="1" customWidth="1"/>
    <col min="5" max="5" width="8.8515625" style="1" customWidth="1"/>
    <col min="6" max="6" width="9.57421875" style="1" customWidth="1"/>
    <col min="7" max="7" width="11.00390625" style="1" customWidth="1"/>
    <col min="8" max="8" width="11.7109375" style="1" customWidth="1"/>
    <col min="9" max="16384" width="11.421875" style="1" customWidth="1"/>
  </cols>
  <sheetData>
    <row r="1" spans="2:8" ht="11.25">
      <c r="B1" s="17"/>
      <c r="C1" s="17"/>
      <c r="D1" s="17"/>
      <c r="E1" s="17"/>
      <c r="F1" s="17"/>
      <c r="G1" s="17"/>
      <c r="H1" s="17"/>
    </row>
    <row r="2" spans="2:8" ht="11.25">
      <c r="B2" s="17"/>
      <c r="C2" s="17"/>
      <c r="D2" s="17"/>
      <c r="E2" s="17"/>
      <c r="F2" s="17" t="s">
        <v>0</v>
      </c>
      <c r="G2" s="17"/>
      <c r="H2" s="17"/>
    </row>
    <row r="3" spans="2:8" ht="11.25">
      <c r="B3" s="18"/>
      <c r="C3" s="18"/>
      <c r="D3" s="18"/>
      <c r="E3" s="18"/>
      <c r="F3" s="17" t="s">
        <v>1</v>
      </c>
      <c r="G3" s="18"/>
      <c r="H3" s="18"/>
    </row>
    <row r="4" spans="1:8" ht="11.25">
      <c r="A4" s="18"/>
      <c r="B4" s="18"/>
      <c r="C4" s="18"/>
      <c r="D4" s="18"/>
      <c r="E4" s="18"/>
      <c r="F4" s="18" t="s">
        <v>2</v>
      </c>
      <c r="G4" s="18"/>
      <c r="H4" s="18"/>
    </row>
    <row r="5" spans="1:8" ht="11.25">
      <c r="A5" s="18"/>
      <c r="B5" s="18"/>
      <c r="C5" s="18"/>
      <c r="D5" s="18"/>
      <c r="E5" s="18"/>
      <c r="F5" s="18"/>
      <c r="G5" s="18"/>
      <c r="H5" s="18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207742</v>
      </c>
      <c r="D9" s="8">
        <v>198297</v>
      </c>
      <c r="E9" s="8">
        <v>192604</v>
      </c>
      <c r="F9" s="8">
        <v>197993</v>
      </c>
      <c r="G9" s="8">
        <v>198774</v>
      </c>
      <c r="H9" s="8">
        <v>183102</v>
      </c>
    </row>
    <row r="10" spans="1:8" ht="11.25">
      <c r="A10" s="7" t="s">
        <v>11</v>
      </c>
      <c r="B10" s="7"/>
      <c r="C10" s="8">
        <v>89360</v>
      </c>
      <c r="D10" s="8">
        <v>93687</v>
      </c>
      <c r="E10" s="8">
        <v>53025</v>
      </c>
      <c r="F10" s="8">
        <v>65644</v>
      </c>
      <c r="G10" s="8">
        <v>74083</v>
      </c>
      <c r="H10" s="8">
        <v>108237</v>
      </c>
    </row>
    <row r="11" spans="1:8" ht="11.25">
      <c r="A11" s="7" t="s">
        <v>12</v>
      </c>
      <c r="B11" s="7"/>
      <c r="C11" s="8">
        <f aca="true" t="shared" si="0" ref="C11:H11">C12+C13</f>
        <v>26065</v>
      </c>
      <c r="D11" s="8">
        <f t="shared" si="0"/>
        <v>28174</v>
      </c>
      <c r="E11" s="8">
        <f t="shared" si="0"/>
        <v>28593</v>
      </c>
      <c r="F11" s="8">
        <f t="shared" si="0"/>
        <v>28367</v>
      </c>
      <c r="G11" s="8">
        <f t="shared" si="0"/>
        <v>35786</v>
      </c>
      <c r="H11" s="8">
        <f t="shared" si="0"/>
        <v>30406</v>
      </c>
    </row>
    <row r="12" spans="1:8" ht="11.25">
      <c r="A12" s="7"/>
      <c r="B12" s="7" t="s">
        <v>13</v>
      </c>
      <c r="C12" s="8"/>
      <c r="D12" s="8"/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26065</v>
      </c>
      <c r="D13" s="8">
        <v>28174</v>
      </c>
      <c r="E13" s="8">
        <v>28593</v>
      </c>
      <c r="F13" s="8">
        <v>28367</v>
      </c>
      <c r="G13" s="8">
        <v>35786</v>
      </c>
      <c r="H13" s="8">
        <v>30406</v>
      </c>
    </row>
    <row r="14" spans="1:8" ht="11.25">
      <c r="A14" s="7" t="s">
        <v>15</v>
      </c>
      <c r="B14" s="7"/>
      <c r="C14" s="8">
        <v>88448</v>
      </c>
      <c r="D14" s="8">
        <v>73168</v>
      </c>
      <c r="E14" s="8">
        <v>106305</v>
      </c>
      <c r="F14" s="8">
        <v>99797</v>
      </c>
      <c r="G14" s="8">
        <v>84358</v>
      </c>
      <c r="H14" s="8">
        <v>40974</v>
      </c>
    </row>
    <row r="15" spans="1:8" ht="11.25">
      <c r="A15" s="7" t="s">
        <v>16</v>
      </c>
      <c r="B15" s="7"/>
      <c r="C15" s="8">
        <f aca="true" t="shared" si="1" ref="C15:H15">C16+C20</f>
        <v>187892</v>
      </c>
      <c r="D15" s="8">
        <f t="shared" si="1"/>
        <v>177543</v>
      </c>
      <c r="E15" s="8">
        <f t="shared" si="1"/>
        <v>170174</v>
      </c>
      <c r="F15" s="8">
        <f t="shared" si="1"/>
        <v>179205</v>
      </c>
      <c r="G15" s="8">
        <f t="shared" si="1"/>
        <v>179208</v>
      </c>
      <c r="H15" s="8">
        <f t="shared" si="1"/>
        <v>170351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187892</v>
      </c>
      <c r="D20" s="8">
        <f t="shared" si="3"/>
        <v>177543</v>
      </c>
      <c r="E20" s="8">
        <f t="shared" si="3"/>
        <v>170174</v>
      </c>
      <c r="F20" s="8">
        <f t="shared" si="3"/>
        <v>179205</v>
      </c>
      <c r="G20" s="8">
        <f t="shared" si="3"/>
        <v>179208</v>
      </c>
      <c r="H20" s="8">
        <f t="shared" si="3"/>
        <v>170351</v>
      </c>
    </row>
    <row r="21" spans="1:8" ht="11.25">
      <c r="A21" s="7"/>
      <c r="B21" s="7" t="s">
        <v>18</v>
      </c>
      <c r="C21" s="8">
        <f>168515+11525</f>
        <v>180040</v>
      </c>
      <c r="D21" s="8">
        <v>170136</v>
      </c>
      <c r="E21" s="8">
        <v>161706</v>
      </c>
      <c r="F21" s="8">
        <v>171197</v>
      </c>
      <c r="G21" s="8">
        <v>172921</v>
      </c>
      <c r="H21" s="8">
        <v>158201</v>
      </c>
    </row>
    <row r="22" spans="1:8" ht="11.25">
      <c r="A22" s="7"/>
      <c r="B22" s="7" t="s">
        <v>19</v>
      </c>
      <c r="C22" s="8">
        <f>373+6+7333+114+26</f>
        <v>7852</v>
      </c>
      <c r="D22" s="8">
        <v>7407</v>
      </c>
      <c r="E22" s="8">
        <f>7468+1000</f>
        <v>8468</v>
      </c>
      <c r="F22" s="8">
        <v>8008</v>
      </c>
      <c r="G22" s="8">
        <v>6287</v>
      </c>
      <c r="H22" s="8">
        <v>12150</v>
      </c>
    </row>
    <row r="23" spans="1:8" ht="11.25">
      <c r="A23" s="3" t="s">
        <v>20</v>
      </c>
      <c r="B23" s="3"/>
      <c r="C23" s="9">
        <v>10736</v>
      </c>
      <c r="D23" s="9">
        <v>10041</v>
      </c>
      <c r="E23" s="9">
        <v>9204</v>
      </c>
      <c r="F23" s="9">
        <v>8460</v>
      </c>
      <c r="G23" s="9">
        <v>9374</v>
      </c>
      <c r="H23" s="9">
        <v>8407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203258</v>
      </c>
      <c r="D25" s="8">
        <f>+(187746+D9)/2</f>
        <v>193021.5</v>
      </c>
      <c r="E25" s="8">
        <f>+(185892+E9)/2</f>
        <v>189248</v>
      </c>
      <c r="F25" s="8">
        <f>+(178558+F9)/2</f>
        <v>188275.5</v>
      </c>
      <c r="G25" s="8">
        <f>(G9+H9)/2</f>
        <v>190938</v>
      </c>
      <c r="H25" s="8">
        <f>(H9+150332)/2</f>
        <v>166717</v>
      </c>
    </row>
    <row r="26" spans="1:8" ht="11.25">
      <c r="A26" s="7" t="s">
        <v>22</v>
      </c>
      <c r="B26" s="7"/>
      <c r="C26" s="8">
        <f aca="true" t="shared" si="4" ref="C26:H26">C27+C28</f>
        <v>117328.5</v>
      </c>
      <c r="D26" s="8">
        <f t="shared" si="4"/>
        <v>96269.5</v>
      </c>
      <c r="E26" s="8">
        <f t="shared" si="4"/>
        <v>114595</v>
      </c>
      <c r="F26" s="8">
        <f t="shared" si="4"/>
        <v>108017.5</v>
      </c>
      <c r="G26" s="8">
        <f t="shared" si="4"/>
        <v>95762</v>
      </c>
      <c r="H26" s="8">
        <f t="shared" si="4"/>
        <v>84554</v>
      </c>
    </row>
    <row r="27" spans="1:8" ht="11.25">
      <c r="A27" s="7"/>
      <c r="B27" s="7" t="s">
        <v>12</v>
      </c>
      <c r="C27" s="8">
        <f>+(C11+G11)/2</f>
        <v>30925.5</v>
      </c>
      <c r="D27" s="8">
        <f>+(42610+D11)/2</f>
        <v>35392</v>
      </c>
      <c r="E27" s="8">
        <f>+(41690+E11)/2</f>
        <v>35141.5</v>
      </c>
      <c r="F27" s="8">
        <f>+(35270+F11)/2</f>
        <v>31818.5</v>
      </c>
      <c r="G27" s="8">
        <f>(G11+H11)/2</f>
        <v>33096</v>
      </c>
      <c r="H27" s="8">
        <f>(H11+36523)/2</f>
        <v>33464.5</v>
      </c>
    </row>
    <row r="28" spans="1:8" ht="11.25">
      <c r="A28" s="7"/>
      <c r="B28" s="7" t="s">
        <v>15</v>
      </c>
      <c r="C28" s="8">
        <f>+(C14+G14)/2</f>
        <v>86403</v>
      </c>
      <c r="D28" s="8">
        <f>+(48587+D14)/2</f>
        <v>60877.5</v>
      </c>
      <c r="E28" s="8">
        <f>+(52602+E14)/2</f>
        <v>79453.5</v>
      </c>
      <c r="F28" s="8">
        <f>+(52601+F14)/2</f>
        <v>76199</v>
      </c>
      <c r="G28" s="8">
        <f>(G14+H14)/2</f>
        <v>62666</v>
      </c>
      <c r="H28" s="8">
        <f>(H14+61205)/2</f>
        <v>51089.5</v>
      </c>
    </row>
    <row r="29" spans="1:8" ht="11.25">
      <c r="A29" s="3" t="s">
        <v>20</v>
      </c>
      <c r="B29" s="3"/>
      <c r="C29" s="9">
        <f>+(C23+G23)/2</f>
        <v>10055</v>
      </c>
      <c r="D29" s="9">
        <f>+(8792+D23)/2</f>
        <v>9416.5</v>
      </c>
      <c r="E29" s="9">
        <f>+(8029+E23)/2</f>
        <v>8616.5</v>
      </c>
      <c r="F29" s="9">
        <f>+(8029+F23)/2</f>
        <v>8244.5</v>
      </c>
      <c r="G29" s="9">
        <f>(G23+H23)/2</f>
        <v>8890.5</v>
      </c>
      <c r="H29" s="9">
        <f>(H23+9278)/2</f>
        <v>8842.5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14953</v>
      </c>
      <c r="D31" s="8">
        <v>11337</v>
      </c>
      <c r="E31" s="8">
        <v>7585</v>
      </c>
      <c r="F31" s="8">
        <v>3740</v>
      </c>
      <c r="G31" s="8">
        <v>12077</v>
      </c>
      <c r="H31" s="8">
        <v>11158</v>
      </c>
    </row>
    <row r="32" spans="1:8" ht="11.25">
      <c r="A32" s="7" t="s">
        <v>25</v>
      </c>
      <c r="B32" s="7"/>
      <c r="C32" s="8">
        <v>12065</v>
      </c>
      <c r="D32" s="8">
        <v>8869</v>
      </c>
      <c r="E32" s="8">
        <v>5882</v>
      </c>
      <c r="F32" s="8">
        <v>2866</v>
      </c>
      <c r="G32" s="8">
        <v>10421</v>
      </c>
      <c r="H32" s="8">
        <v>10170</v>
      </c>
    </row>
    <row r="33" spans="1:8" ht="11.25">
      <c r="A33" s="7" t="s">
        <v>26</v>
      </c>
      <c r="B33" s="7"/>
      <c r="C33" s="8">
        <f aca="true" t="shared" si="5" ref="C33:H33">C31-C32</f>
        <v>2888</v>
      </c>
      <c r="D33" s="8">
        <f t="shared" si="5"/>
        <v>2468</v>
      </c>
      <c r="E33" s="8">
        <f t="shared" si="5"/>
        <v>1703</v>
      </c>
      <c r="F33" s="8">
        <f t="shared" si="5"/>
        <v>874</v>
      </c>
      <c r="G33" s="8">
        <f t="shared" si="5"/>
        <v>1656</v>
      </c>
      <c r="H33" s="8">
        <f t="shared" si="5"/>
        <v>988</v>
      </c>
    </row>
    <row r="34" spans="1:8" ht="11.25">
      <c r="A34" s="7" t="s">
        <v>27</v>
      </c>
      <c r="B34" s="7"/>
      <c r="C34" s="8">
        <v>2768</v>
      </c>
      <c r="D34" s="8">
        <v>2061</v>
      </c>
      <c r="E34" s="8">
        <v>1334</v>
      </c>
      <c r="F34" s="8">
        <v>604</v>
      </c>
      <c r="G34" s="8">
        <v>1496</v>
      </c>
      <c r="H34" s="8">
        <v>2452</v>
      </c>
    </row>
    <row r="35" spans="1:8" ht="11.25">
      <c r="A35" s="7" t="s">
        <v>28</v>
      </c>
      <c r="B35" s="7"/>
      <c r="C35" s="8">
        <f aca="true" t="shared" si="6" ref="C35:H35">C33+C34</f>
        <v>5656</v>
      </c>
      <c r="D35" s="8">
        <f t="shared" si="6"/>
        <v>4529</v>
      </c>
      <c r="E35" s="8">
        <f t="shared" si="6"/>
        <v>3037</v>
      </c>
      <c r="F35" s="8">
        <f t="shared" si="6"/>
        <v>1478</v>
      </c>
      <c r="G35" s="8">
        <f t="shared" si="6"/>
        <v>3152</v>
      </c>
      <c r="H35" s="8">
        <f t="shared" si="6"/>
        <v>3440</v>
      </c>
    </row>
    <row r="36" spans="1:8" ht="11.25">
      <c r="A36" s="7" t="s">
        <v>29</v>
      </c>
      <c r="B36" s="7"/>
      <c r="C36" s="8">
        <v>2541</v>
      </c>
      <c r="D36" s="8">
        <v>2140</v>
      </c>
      <c r="E36" s="8">
        <v>1516</v>
      </c>
      <c r="F36" s="8">
        <v>731</v>
      </c>
      <c r="G36" s="8">
        <v>1612</v>
      </c>
      <c r="H36" s="8">
        <v>1252</v>
      </c>
    </row>
    <row r="37" spans="1:8" ht="11.25">
      <c r="A37" s="7" t="s">
        <v>30</v>
      </c>
      <c r="B37" s="7"/>
      <c r="C37" s="8">
        <f aca="true" t="shared" si="7" ref="C37:H37">C35-C36</f>
        <v>3115</v>
      </c>
      <c r="D37" s="8">
        <f t="shared" si="7"/>
        <v>2389</v>
      </c>
      <c r="E37" s="8">
        <f t="shared" si="7"/>
        <v>1521</v>
      </c>
      <c r="F37" s="8">
        <f t="shared" si="7"/>
        <v>747</v>
      </c>
      <c r="G37" s="8">
        <f t="shared" si="7"/>
        <v>1540</v>
      </c>
      <c r="H37" s="8">
        <f t="shared" si="7"/>
        <v>2188</v>
      </c>
    </row>
    <row r="38" spans="1:8" ht="11.25">
      <c r="A38" s="3" t="s">
        <v>31</v>
      </c>
      <c r="B38" s="3"/>
      <c r="C38" s="9">
        <v>2965</v>
      </c>
      <c r="D38" s="9">
        <v>2389</v>
      </c>
      <c r="E38" s="9">
        <v>1521</v>
      </c>
      <c r="F38" s="9">
        <v>687</v>
      </c>
      <c r="G38" s="9">
        <v>1520</v>
      </c>
      <c r="H38" s="9">
        <v>636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0</v>
      </c>
      <c r="D41" s="8">
        <v>2700</v>
      </c>
      <c r="E41" s="8">
        <v>700</v>
      </c>
      <c r="F41" s="8">
        <v>0</v>
      </c>
      <c r="G41" s="8">
        <v>0</v>
      </c>
      <c r="H41" s="8">
        <v>0</v>
      </c>
    </row>
    <row r="42" spans="1:8" ht="11.25">
      <c r="A42" s="7" t="s">
        <v>35</v>
      </c>
      <c r="B42" s="7"/>
      <c r="C42" s="10">
        <f aca="true" t="shared" si="8" ref="C42:H42">C40/C11</f>
        <v>0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</row>
    <row r="43" spans="1:8" ht="11.25">
      <c r="A43" s="7" t="s">
        <v>36</v>
      </c>
      <c r="B43" s="7"/>
      <c r="C43" s="10">
        <f aca="true" t="shared" si="9" ref="C43:H43">C41/C11</f>
        <v>0</v>
      </c>
      <c r="D43" s="10">
        <f t="shared" si="9"/>
        <v>0.09583303755235323</v>
      </c>
      <c r="E43" s="10">
        <f t="shared" si="9"/>
        <v>0.024481516455076416</v>
      </c>
      <c r="F43" s="10">
        <f t="shared" si="9"/>
        <v>0</v>
      </c>
      <c r="G43" s="10">
        <f t="shared" si="9"/>
        <v>0</v>
      </c>
      <c r="H43" s="10">
        <f t="shared" si="9"/>
        <v>0</v>
      </c>
    </row>
    <row r="44" spans="1:8" ht="11.25">
      <c r="A44" s="11" t="s">
        <v>37</v>
      </c>
      <c r="B44" s="7"/>
      <c r="C44" s="10">
        <f aca="true" t="shared" si="10" ref="C44:H44">(C40+C41)/C11</f>
        <v>0</v>
      </c>
      <c r="D44" s="10">
        <f t="shared" si="10"/>
        <v>0.09583303755235323</v>
      </c>
      <c r="E44" s="10">
        <f t="shared" si="10"/>
        <v>0.024481516455076416</v>
      </c>
      <c r="F44" s="10">
        <f t="shared" si="10"/>
        <v>0</v>
      </c>
      <c r="G44" s="10">
        <f t="shared" si="10"/>
        <v>0</v>
      </c>
      <c r="H44" s="10">
        <f t="shared" si="10"/>
        <v>0</v>
      </c>
    </row>
    <row r="45" spans="1:8" ht="11.25">
      <c r="A45" s="7" t="s">
        <v>38</v>
      </c>
      <c r="B45" s="7"/>
      <c r="C45" s="10">
        <f>357/C11</f>
        <v>0.01369652791099175</v>
      </c>
      <c r="D45" s="10">
        <f>327/D11</f>
        <v>0.011606445659118336</v>
      </c>
      <c r="E45" s="10">
        <f>297/E11</f>
        <v>0.010387157695939566</v>
      </c>
      <c r="F45" s="10">
        <f>267/F11</f>
        <v>0.009412345330842176</v>
      </c>
      <c r="G45" s="10">
        <f>207/G11</f>
        <v>0.005784384955010339</v>
      </c>
      <c r="H45" s="10">
        <f>614/H11</f>
        <v>0.020193382884956916</v>
      </c>
    </row>
    <row r="46" spans="1:8" ht="11.25">
      <c r="A46" s="3" t="s">
        <v>39</v>
      </c>
      <c r="B46" s="3"/>
      <c r="C46" s="12">
        <v>0</v>
      </c>
      <c r="D46" s="12">
        <f>357/(D40+D41)</f>
        <v>0.1322222222222222</v>
      </c>
      <c r="E46" s="12">
        <f>357/(E40+E41)</f>
        <v>0.51</v>
      </c>
      <c r="F46" s="12">
        <v>0</v>
      </c>
      <c r="G46" s="12">
        <v>0</v>
      </c>
      <c r="H46" s="12">
        <v>0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+C29/C25</f>
        <v>0.04946914758582688</v>
      </c>
      <c r="D48" s="10">
        <f t="shared" si="11"/>
        <v>0.04878472087306336</v>
      </c>
      <c r="E48" s="10">
        <f t="shared" si="11"/>
        <v>0.04553020375380453</v>
      </c>
      <c r="F48" s="10">
        <f t="shared" si="11"/>
        <v>0.043789553075147855</v>
      </c>
      <c r="G48" s="10">
        <f t="shared" si="11"/>
        <v>0.0465622348615781</v>
      </c>
      <c r="H48" s="10">
        <f t="shared" si="11"/>
        <v>0.05303898222736733</v>
      </c>
    </row>
    <row r="49" spans="1:8" ht="11.25">
      <c r="A49" s="3" t="s">
        <v>42</v>
      </c>
      <c r="B49" s="3"/>
      <c r="C49" s="12">
        <f aca="true" t="shared" si="12" ref="C49:H49">+C29/C26</f>
        <v>0.08569955296453974</v>
      </c>
      <c r="D49" s="12">
        <f t="shared" si="12"/>
        <v>0.09781394938168371</v>
      </c>
      <c r="E49" s="12">
        <f t="shared" si="12"/>
        <v>0.0751908896548715</v>
      </c>
      <c r="F49" s="12">
        <f t="shared" si="12"/>
        <v>0.07632559538963594</v>
      </c>
      <c r="G49" s="12">
        <f t="shared" si="12"/>
        <v>0.09283953969215346</v>
      </c>
      <c r="H49" s="12">
        <f t="shared" si="12"/>
        <v>0.10457813941386569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0">
        <f aca="true" t="shared" si="13" ref="C51:H51">C10/C15</f>
        <v>0.4755923615694122</v>
      </c>
      <c r="D51" s="10">
        <f t="shared" si="13"/>
        <v>0.5276862506547709</v>
      </c>
      <c r="E51" s="10">
        <f t="shared" si="13"/>
        <v>0.31159284026937134</v>
      </c>
      <c r="F51" s="10">
        <f t="shared" si="13"/>
        <v>0.3663067436734466</v>
      </c>
      <c r="G51" s="10">
        <f t="shared" si="13"/>
        <v>0.41339114325253334</v>
      </c>
      <c r="H51" s="10">
        <f t="shared" si="13"/>
        <v>0.6353763699655417</v>
      </c>
    </row>
    <row r="52" spans="1:8" ht="11.25">
      <c r="A52" s="7" t="s">
        <v>45</v>
      </c>
      <c r="B52" s="7"/>
      <c r="C52" s="10">
        <f aca="true" t="shared" si="14" ref="C52:H52">C10/C9</f>
        <v>0.4301489347363557</v>
      </c>
      <c r="D52" s="10">
        <f t="shared" si="14"/>
        <v>0.472457979697121</v>
      </c>
      <c r="E52" s="10">
        <f t="shared" si="14"/>
        <v>0.2753058088097859</v>
      </c>
      <c r="F52" s="10">
        <f t="shared" si="14"/>
        <v>0.33154707489658725</v>
      </c>
      <c r="G52" s="10">
        <f t="shared" si="14"/>
        <v>0.3726996488474348</v>
      </c>
      <c r="H52" s="10">
        <f t="shared" si="14"/>
        <v>0.5911295343578988</v>
      </c>
    </row>
    <row r="53" spans="1:8" ht="11.25">
      <c r="A53" s="3" t="s">
        <v>46</v>
      </c>
      <c r="B53" s="3"/>
      <c r="C53" s="12">
        <f aca="true" t="shared" si="15" ref="C53:H53">(C10+C14)/C15</f>
        <v>0.946330870925851</v>
      </c>
      <c r="D53" s="12">
        <f t="shared" si="15"/>
        <v>0.9398004990340368</v>
      </c>
      <c r="E53" s="12">
        <f t="shared" si="15"/>
        <v>0.9362769870838084</v>
      </c>
      <c r="F53" s="12">
        <f t="shared" si="15"/>
        <v>0.9231941073072738</v>
      </c>
      <c r="G53" s="12">
        <f t="shared" si="15"/>
        <v>0.8841178965224766</v>
      </c>
      <c r="H53" s="12">
        <f t="shared" si="15"/>
        <v>0.8759032820470676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3">
        <f>C38/C26</f>
        <v>0.025270927353541552</v>
      </c>
      <c r="D55" s="13">
        <f>(D38/0.75)/D26</f>
        <v>0.033087668818611644</v>
      </c>
      <c r="E55" s="13">
        <f>(E38/0.5)/E26</f>
        <v>0.026545660805445265</v>
      </c>
      <c r="F55" s="10">
        <f>((F38)/0.25)/F26</f>
        <v>0.025440322170018747</v>
      </c>
      <c r="G55" s="10">
        <f>G38/G26</f>
        <v>0.01587268436331739</v>
      </c>
      <c r="H55" s="10">
        <f>H38/H26</f>
        <v>0.007521820375144878</v>
      </c>
    </row>
    <row r="56" spans="1:8" ht="11.25">
      <c r="A56" s="7" t="s">
        <v>49</v>
      </c>
      <c r="B56" s="7"/>
      <c r="C56" s="13">
        <f>C38/C25</f>
        <v>0.014587371714766454</v>
      </c>
      <c r="D56" s="13">
        <f>(D38/0.75)/D25</f>
        <v>0.016502479430184375</v>
      </c>
      <c r="E56" s="13">
        <f>(E38/0.5)/E25</f>
        <v>0.016074146094014204</v>
      </c>
      <c r="F56" s="10">
        <f>((F38)/0.25)/F25</f>
        <v>0.014595632464128365</v>
      </c>
      <c r="G56" s="10">
        <f>G38/G25</f>
        <v>0.007960699284584524</v>
      </c>
      <c r="H56" s="10">
        <f>H38/H25</f>
        <v>0.0038148479159293893</v>
      </c>
    </row>
    <row r="57" spans="1:8" ht="11.25">
      <c r="A57" s="7" t="s">
        <v>50</v>
      </c>
      <c r="B57" s="7"/>
      <c r="C57" s="13">
        <f>+C38/C29</f>
        <v>0.29487817006464445</v>
      </c>
      <c r="D57" s="13">
        <f>(D38/0.75)/D29</f>
        <v>0.3382714738313953</v>
      </c>
      <c r="E57" s="13">
        <f>(E38/0.5)/E29</f>
        <v>0.3530435791794812</v>
      </c>
      <c r="F57" s="10">
        <f>((F38)/0.25)/F29</f>
        <v>0.33331311783613315</v>
      </c>
      <c r="G57" s="10">
        <f>G38/G29</f>
        <v>0.17096901186659919</v>
      </c>
      <c r="H57" s="10">
        <f>H38/H29</f>
        <v>0.0719253604749788</v>
      </c>
    </row>
    <row r="58" spans="1:8" ht="11.25">
      <c r="A58" s="7" t="s">
        <v>51</v>
      </c>
      <c r="B58" s="7"/>
      <c r="C58" s="13">
        <f>C31/C25</f>
        <v>0.07356660008462151</v>
      </c>
      <c r="D58" s="13">
        <f>(D31/0.75)/D25</f>
        <v>0.07831251958978663</v>
      </c>
      <c r="E58" s="13">
        <f>(E31/0.5)/E25</f>
        <v>0.08015936760229962</v>
      </c>
      <c r="F58" s="10">
        <f>((F31)/0.25)/F25</f>
        <v>0.07945802826177596</v>
      </c>
      <c r="G58" s="10">
        <f>G31/G25</f>
        <v>0.06325089819732059</v>
      </c>
      <c r="H58" s="10">
        <f>H31/H25</f>
        <v>0.06692778780808196</v>
      </c>
    </row>
    <row r="59" spans="1:8" ht="11.25">
      <c r="A59" s="7" t="s">
        <v>52</v>
      </c>
      <c r="B59" s="7"/>
      <c r="C59" s="13">
        <f>C32/C25</f>
        <v>0.059358057247439214</v>
      </c>
      <c r="D59" s="13">
        <f>(D32/0.75)/D25</f>
        <v>0.06126433238438896</v>
      </c>
      <c r="E59" s="13">
        <f>(E32/0.5)/E25</f>
        <v>0.062161819411565775</v>
      </c>
      <c r="F59" s="10">
        <f>((F32)/0.25)/F25</f>
        <v>0.0608894943845588</v>
      </c>
      <c r="G59" s="10">
        <f>G32/G25</f>
        <v>0.054577925818852194</v>
      </c>
      <c r="H59" s="10">
        <f>H32/H25</f>
        <v>0.061001577523587876</v>
      </c>
    </row>
    <row r="60" spans="1:8" ht="11.25">
      <c r="A60" s="7" t="s">
        <v>53</v>
      </c>
      <c r="B60" s="7"/>
      <c r="C60" s="13">
        <f>C33/C25</f>
        <v>0.0142085428371823</v>
      </c>
      <c r="D60" s="13">
        <f>(D33/0.75)/D25</f>
        <v>0.01704818720539767</v>
      </c>
      <c r="E60" s="13">
        <f>(E33/0.5)/E25</f>
        <v>0.01799754819073385</v>
      </c>
      <c r="F60" s="10">
        <f>((F33)/0.25)/F25</f>
        <v>0.01856853387721716</v>
      </c>
      <c r="G60" s="10">
        <f>G33/G25</f>
        <v>0.008672972378468403</v>
      </c>
      <c r="H60" s="10">
        <f>H33/H25</f>
        <v>0.005926210284494083</v>
      </c>
    </row>
    <row r="61" spans="1:8" ht="11.25">
      <c r="A61" s="7" t="s">
        <v>54</v>
      </c>
      <c r="B61" s="7"/>
      <c r="C61" s="13">
        <f>C36/C35</f>
        <v>0.44925742574257427</v>
      </c>
      <c r="D61" s="13">
        <f>(D36/0.75)/(D35/0.75)</f>
        <v>0.4725104879664385</v>
      </c>
      <c r="E61" s="13">
        <f>(E36/0.5)/(E35/0.5)</f>
        <v>0.4991768192295028</v>
      </c>
      <c r="F61" s="10">
        <f>(F36/0.25)/(F35/0.25)</f>
        <v>0.4945872801082544</v>
      </c>
      <c r="G61" s="10">
        <f>G36/G35</f>
        <v>0.5114213197969543</v>
      </c>
      <c r="H61" s="10">
        <f>H36/H35</f>
        <v>0.363953488372093</v>
      </c>
    </row>
    <row r="62" spans="1:8" ht="11.25">
      <c r="A62" s="3" t="s">
        <v>55</v>
      </c>
      <c r="B62" s="3"/>
      <c r="C62" s="14">
        <f>C34/C25</f>
        <v>0.013618160170817385</v>
      </c>
      <c r="D62" s="14">
        <f>(D34/0.75)/D25</f>
        <v>0.014236756009045625</v>
      </c>
      <c r="E62" s="14">
        <f>(E34/0.5)/E25</f>
        <v>0.014097903280351707</v>
      </c>
      <c r="F62" s="12">
        <f>(F34/0.25)/F25</f>
        <v>0.012832259109655797</v>
      </c>
      <c r="G62" s="12">
        <f>G34/G25</f>
        <v>0.007835004032722664</v>
      </c>
      <c r="H62" s="12">
        <f>H34/H25</f>
        <v>0.01470755831738815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f>19+3</f>
        <v>22</v>
      </c>
      <c r="D64" s="8">
        <f>19+3</f>
        <v>22</v>
      </c>
      <c r="E64" s="8">
        <f>20+3</f>
        <v>23</v>
      </c>
      <c r="F64" s="8">
        <v>23</v>
      </c>
      <c r="G64" s="8">
        <v>24</v>
      </c>
      <c r="H64" s="8">
        <v>22</v>
      </c>
    </row>
    <row r="65" spans="1:8" ht="11.25">
      <c r="A65" s="7" t="s">
        <v>58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59</v>
      </c>
      <c r="B66" s="7"/>
      <c r="C66" s="8">
        <f aca="true" t="shared" si="16" ref="C66:H66">C11/C64</f>
        <v>1184.7727272727273</v>
      </c>
      <c r="D66" s="8">
        <f t="shared" si="16"/>
        <v>1280.6363636363637</v>
      </c>
      <c r="E66" s="8">
        <f t="shared" si="16"/>
        <v>1243.1739130434783</v>
      </c>
      <c r="F66" s="8">
        <f t="shared" si="16"/>
        <v>1233.3478260869565</v>
      </c>
      <c r="G66" s="8">
        <f t="shared" si="16"/>
        <v>1491.0833333333333</v>
      </c>
      <c r="H66" s="8">
        <f t="shared" si="16"/>
        <v>1382.090909090909</v>
      </c>
    </row>
    <row r="67" spans="1:8" ht="11.25">
      <c r="A67" s="7" t="s">
        <v>60</v>
      </c>
      <c r="B67" s="7"/>
      <c r="C67" s="8">
        <f aca="true" t="shared" si="17" ref="C67:H67">+C15/C64</f>
        <v>8540.545454545454</v>
      </c>
      <c r="D67" s="8">
        <f t="shared" si="17"/>
        <v>8070.136363636364</v>
      </c>
      <c r="E67" s="8">
        <f t="shared" si="17"/>
        <v>7398.869565217391</v>
      </c>
      <c r="F67" s="8">
        <f t="shared" si="17"/>
        <v>7791.521739130435</v>
      </c>
      <c r="G67" s="8">
        <f t="shared" si="17"/>
        <v>7467</v>
      </c>
      <c r="H67" s="8">
        <f t="shared" si="17"/>
        <v>7743.227272727273</v>
      </c>
    </row>
    <row r="68" spans="1:8" ht="11.25">
      <c r="A68" s="3" t="s">
        <v>61</v>
      </c>
      <c r="B68" s="3"/>
      <c r="C68" s="9">
        <f aca="true" t="shared" si="18" ref="C68:H68">+C38/C64</f>
        <v>134.77272727272728</v>
      </c>
      <c r="D68" s="9">
        <f t="shared" si="18"/>
        <v>108.5909090909091</v>
      </c>
      <c r="E68" s="9">
        <f t="shared" si="18"/>
        <v>66.1304347826087</v>
      </c>
      <c r="F68" s="9">
        <f t="shared" si="18"/>
        <v>29.869565217391305</v>
      </c>
      <c r="G68" s="9">
        <f t="shared" si="18"/>
        <v>63.333333333333336</v>
      </c>
      <c r="H68" s="9">
        <f t="shared" si="18"/>
        <v>28.90909090909091</v>
      </c>
    </row>
    <row r="69" spans="1:8" ht="11.25">
      <c r="A69" s="5" t="s">
        <v>62</v>
      </c>
      <c r="B69" s="7"/>
      <c r="C69" s="15"/>
      <c r="D69" s="15"/>
      <c r="E69" s="15"/>
      <c r="F69" s="15"/>
      <c r="G69" s="15"/>
      <c r="H69" s="15"/>
    </row>
    <row r="70" spans="1:8" ht="11.25">
      <c r="A70" s="7" t="s">
        <v>63</v>
      </c>
      <c r="B70" s="7"/>
      <c r="C70" s="10">
        <f>+(C9/G9)-1</f>
        <v>0.045116564540634174</v>
      </c>
      <c r="D70" s="10">
        <f>+(D9/187746)-1</f>
        <v>0.05619826787255122</v>
      </c>
      <c r="E70" s="10">
        <f>+(E9/185892)-1</f>
        <v>0.03610698685258096</v>
      </c>
      <c r="F70" s="10">
        <f>+(F9/178558)-1</f>
        <v>0.1088441850827182</v>
      </c>
      <c r="G70" s="10">
        <f>+(G9/H9)-1</f>
        <v>0.08559163744797971</v>
      </c>
      <c r="H70" s="10">
        <f>(H9/150332)-1</f>
        <v>0.21798419498177357</v>
      </c>
    </row>
    <row r="71" spans="1:8" ht="11.25">
      <c r="A71" s="7" t="s">
        <v>64</v>
      </c>
      <c r="B71" s="7"/>
      <c r="C71" s="10">
        <f aca="true" t="shared" si="19" ref="C71:H71">SUM(C72:C73)</f>
        <v>-0.2716425417761136</v>
      </c>
      <c r="D71" s="10">
        <f t="shared" si="19"/>
        <v>-0.33879371039662054</v>
      </c>
      <c r="E71" s="10">
        <f t="shared" si="19"/>
        <v>-0.3141520748380907</v>
      </c>
      <c r="F71" s="10">
        <f t="shared" si="19"/>
        <v>-0.19571874113977883</v>
      </c>
      <c r="G71" s="10">
        <f t="shared" si="19"/>
        <v>0.17693876208643022</v>
      </c>
      <c r="H71" s="10">
        <f t="shared" si="19"/>
        <v>-0.16748350354571095</v>
      </c>
    </row>
    <row r="72" spans="1:8" ht="11.25">
      <c r="A72" s="7"/>
      <c r="B72" s="7" t="s">
        <v>13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ht="11.25">
      <c r="A73" s="7"/>
      <c r="B73" s="7" t="s">
        <v>14</v>
      </c>
      <c r="C73" s="10">
        <f>+(C13/G13)-1</f>
        <v>-0.2716425417761136</v>
      </c>
      <c r="D73" s="10">
        <f>+(D13/42610)-1</f>
        <v>-0.33879371039662054</v>
      </c>
      <c r="E73" s="10">
        <f>+(E13/41690)-1</f>
        <v>-0.3141520748380907</v>
      </c>
      <c r="F73" s="10">
        <f>+(F13/35270)-1</f>
        <v>-0.19571874113977883</v>
      </c>
      <c r="G73" s="10">
        <f>+(G13/H13)-1</f>
        <v>0.17693876208643022</v>
      </c>
      <c r="H73" s="10">
        <f>+(H13/36523)-1</f>
        <v>-0.16748350354571095</v>
      </c>
    </row>
    <row r="74" spans="1:8" ht="11.25">
      <c r="A74" s="7" t="s">
        <v>65</v>
      </c>
      <c r="B74" s="7"/>
      <c r="C74" s="10">
        <f aca="true" t="shared" si="20" ref="C74:H74">SUM(C75:C76)</f>
        <v>0.048457658140261595</v>
      </c>
      <c r="D74" s="10">
        <f t="shared" si="20"/>
        <v>0.036807988787666446</v>
      </c>
      <c r="E74" s="10">
        <f t="shared" si="20"/>
        <v>0.005631688738395368</v>
      </c>
      <c r="F74" s="10">
        <f t="shared" si="20"/>
        <v>0.08695388459928788</v>
      </c>
      <c r="G74" s="10">
        <f t="shared" si="20"/>
        <v>0.05199265046873802</v>
      </c>
      <c r="H74" s="10">
        <f t="shared" si="20"/>
        <v>0.23166966719447046</v>
      </c>
    </row>
    <row r="75" spans="1:8" ht="11.25">
      <c r="A75" s="7"/>
      <c r="B75" s="7" t="s">
        <v>13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</row>
    <row r="76" spans="1:8" ht="11.25">
      <c r="A76" s="7"/>
      <c r="B76" s="7" t="s">
        <v>14</v>
      </c>
      <c r="C76" s="10">
        <f>+(C20/G20)-1</f>
        <v>0.048457658140261595</v>
      </c>
      <c r="D76" s="10">
        <f>+(D20/171240)-1</f>
        <v>0.036807988787666446</v>
      </c>
      <c r="E76" s="10">
        <f>+(E20/169221)-1</f>
        <v>0.005631688738395368</v>
      </c>
      <c r="F76" s="10">
        <f>+(F20/164869)-1</f>
        <v>0.08695388459928788</v>
      </c>
      <c r="G76" s="10">
        <f>+(G20/H20)-1</f>
        <v>0.05199265046873802</v>
      </c>
      <c r="H76" s="10">
        <f>+(H20/138309)-1</f>
        <v>0.23166966719447046</v>
      </c>
    </row>
    <row r="77" spans="1:8" ht="11.25">
      <c r="A77" s="7" t="s">
        <v>66</v>
      </c>
      <c r="B77" s="7"/>
      <c r="C77" s="16">
        <f>+(C23/G23)-1</f>
        <v>0.14529549818647314</v>
      </c>
      <c r="D77" s="16">
        <f>+(D23/8792)-1</f>
        <v>0.14206096451319383</v>
      </c>
      <c r="E77" s="16">
        <f>+(E23/8029)-1</f>
        <v>0.14634450118321096</v>
      </c>
      <c r="F77" s="16">
        <f>+(F23/8029)-1</f>
        <v>0.05368040851911826</v>
      </c>
      <c r="G77" s="16">
        <f>+(G23/H23)-1</f>
        <v>0.11502319495658386</v>
      </c>
      <c r="H77" s="16">
        <f>(H23/9278)-1</f>
        <v>-0.09387799094632465</v>
      </c>
    </row>
    <row r="78" spans="1:8" ht="11.25">
      <c r="A78" s="3" t="s">
        <v>67</v>
      </c>
      <c r="B78" s="3"/>
      <c r="C78" s="12">
        <f>+(C38/G38)-1</f>
        <v>0.950657894736842</v>
      </c>
      <c r="D78" s="12">
        <f>+(D38/1023)-1</f>
        <v>1.3352883675464322</v>
      </c>
      <c r="E78" s="12">
        <f>+(E38/532)-1</f>
        <v>1.8590225563909772</v>
      </c>
      <c r="F78" s="12">
        <f>+(F38/259)-1</f>
        <v>1.6525096525096523</v>
      </c>
      <c r="G78" s="12">
        <f>+(G38/H38)-1</f>
        <v>1.389937106918239</v>
      </c>
      <c r="H78" s="12">
        <f>+(H38/1507)-1</f>
        <v>-0.5779694757796947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2002-05-02T19:58:18Z</cp:lastPrinted>
  <dcterms:created xsi:type="dcterms:W3CDTF">2002-03-08T15:44:48Z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