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Sociéte" sheetId="1" r:id="rId1"/>
  </sheets>
  <definedNames>
    <definedName name="_xlnm.Print_Area" localSheetId="0">'Sociéte'!$A$1:$H$78</definedName>
  </definedNames>
  <calcPr fullCalcOnLoad="1"/>
</workbook>
</file>

<file path=xl/sharedStrings.xml><?xml version="1.0" encoding="utf-8"?>
<sst xmlns="http://schemas.openxmlformats.org/spreadsheetml/2006/main" count="80" uniqueCount="68">
  <si>
    <t>CUADRO No. 19-16   BANCO SOCIETE GENERALE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</si>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</sst>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0" fontId="3" fillId="0" borderId="0" xfId="19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0" fontId="3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"/>
    </sheetView>
  </sheetViews>
  <sheetFormatPr defaultColWidth="11.421875" defaultRowHeight="12.75"/>
  <cols>
    <col min="1" max="1" width="3.57421875" style="1" customWidth="1"/>
    <col min="2" max="2" width="33.8515625" style="1" customWidth="1"/>
    <col min="3" max="3" width="11.421875" style="1" customWidth="1"/>
    <col min="4" max="4" width="8.8515625" style="1" customWidth="1"/>
    <col min="5" max="5" width="9.00390625" style="1" customWidth="1"/>
    <col min="6" max="6" width="10.140625" style="1" customWidth="1"/>
    <col min="7" max="16384" width="11.42187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2"/>
      <c r="B6" s="2"/>
      <c r="C6" s="2"/>
      <c r="D6" s="2"/>
      <c r="E6" s="2"/>
      <c r="F6" s="2"/>
      <c r="G6" s="2"/>
      <c r="H6" s="2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823373</v>
      </c>
      <c r="D9" s="7">
        <v>681412</v>
      </c>
      <c r="E9" s="7">
        <v>793485</v>
      </c>
      <c r="F9" s="7">
        <v>1051344</v>
      </c>
      <c r="G9" s="7">
        <v>965472</v>
      </c>
      <c r="H9" s="7">
        <v>1216052</v>
      </c>
    </row>
    <row r="10" spans="1:8" ht="11.25">
      <c r="A10" s="6" t="s">
        <v>11</v>
      </c>
      <c r="B10" s="6"/>
      <c r="C10" s="7">
        <v>474565</v>
      </c>
      <c r="D10" s="7">
        <v>279675</v>
      </c>
      <c r="E10" s="7">
        <v>396417</v>
      </c>
      <c r="F10" s="7">
        <v>624302</v>
      </c>
      <c r="G10" s="7">
        <v>525310</v>
      </c>
      <c r="H10" s="7">
        <v>438604</v>
      </c>
    </row>
    <row r="11" spans="1:8" ht="11.25">
      <c r="A11" s="6" t="s">
        <v>12</v>
      </c>
      <c r="B11" s="6"/>
      <c r="C11" s="7">
        <f aca="true" t="shared" si="0" ref="C11:H11">C12+C13</f>
        <v>334819</v>
      </c>
      <c r="D11" s="7">
        <f t="shared" si="0"/>
        <v>389029</v>
      </c>
      <c r="E11" s="7">
        <f t="shared" si="0"/>
        <v>384088</v>
      </c>
      <c r="F11" s="7">
        <f t="shared" si="0"/>
        <v>410451</v>
      </c>
      <c r="G11" s="7">
        <f t="shared" si="0"/>
        <v>425721</v>
      </c>
      <c r="H11" s="7">
        <f t="shared" si="0"/>
        <v>754869</v>
      </c>
    </row>
    <row r="12" spans="1:8" ht="11.25">
      <c r="A12" s="6"/>
      <c r="B12" s="6" t="s">
        <v>13</v>
      </c>
      <c r="C12" s="7"/>
      <c r="D12" s="7"/>
      <c r="E12" s="7">
        <v>0</v>
      </c>
      <c r="F12" s="7">
        <v>0</v>
      </c>
      <c r="G12" s="7">
        <v>0</v>
      </c>
      <c r="H12" s="7">
        <v>0</v>
      </c>
    </row>
    <row r="13" spans="1:8" ht="11.25">
      <c r="A13" s="6"/>
      <c r="B13" s="6" t="s">
        <v>14</v>
      </c>
      <c r="C13" s="7">
        <v>334819</v>
      </c>
      <c r="D13" s="7">
        <v>389029</v>
      </c>
      <c r="E13" s="7">
        <v>384088</v>
      </c>
      <c r="F13" s="7">
        <v>410451</v>
      </c>
      <c r="G13" s="7">
        <v>425721</v>
      </c>
      <c r="H13" s="7">
        <v>754869</v>
      </c>
    </row>
    <row r="14" spans="1:8" ht="11.25">
      <c r="A14" s="6" t="s">
        <v>15</v>
      </c>
      <c r="B14" s="6"/>
      <c r="C14" s="7">
        <v>981</v>
      </c>
      <c r="D14" s="7">
        <v>981</v>
      </c>
      <c r="E14" s="7">
        <v>3135</v>
      </c>
      <c r="F14" s="7">
        <v>3300</v>
      </c>
      <c r="G14" s="7">
        <v>3616</v>
      </c>
      <c r="H14" s="7">
        <v>4720</v>
      </c>
    </row>
    <row r="15" spans="1:8" ht="11.25">
      <c r="A15" s="6" t="s">
        <v>16</v>
      </c>
      <c r="B15" s="6"/>
      <c r="C15" s="7">
        <f aca="true" t="shared" si="1" ref="C15:H15">C16+C20</f>
        <v>799378</v>
      </c>
      <c r="D15" s="7">
        <f t="shared" si="1"/>
        <v>661264</v>
      </c>
      <c r="E15" s="7">
        <f t="shared" si="1"/>
        <v>845191</v>
      </c>
      <c r="F15" s="7">
        <f t="shared" si="1"/>
        <v>1031709</v>
      </c>
      <c r="G15" s="7">
        <f t="shared" si="1"/>
        <v>942082</v>
      </c>
      <c r="H15" s="7">
        <f t="shared" si="1"/>
        <v>1186033</v>
      </c>
    </row>
    <row r="16" spans="1:8" ht="11.25">
      <c r="A16" s="6"/>
      <c r="B16" s="6" t="s">
        <v>13</v>
      </c>
      <c r="C16" s="7">
        <f aca="true" t="shared" si="2" ref="C16:H16">SUM(C17:C19)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1:8" ht="11.25">
      <c r="A17" s="6"/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1.25">
      <c r="A18" s="6"/>
      <c r="B18" s="6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1.25">
      <c r="A20" s="6"/>
      <c r="B20" s="6" t="s">
        <v>14</v>
      </c>
      <c r="C20" s="7">
        <f aca="true" t="shared" si="3" ref="C20:H20">SUM(C21:C22)</f>
        <v>799378</v>
      </c>
      <c r="D20" s="7">
        <f t="shared" si="3"/>
        <v>661264</v>
      </c>
      <c r="E20" s="7">
        <f t="shared" si="3"/>
        <v>845191</v>
      </c>
      <c r="F20" s="7">
        <f t="shared" si="3"/>
        <v>1031709</v>
      </c>
      <c r="G20" s="7">
        <f t="shared" si="3"/>
        <v>942082</v>
      </c>
      <c r="H20" s="7">
        <f t="shared" si="3"/>
        <v>1186033</v>
      </c>
    </row>
    <row r="21" spans="1:8" ht="11.25">
      <c r="A21" s="6"/>
      <c r="B21" s="6" t="s">
        <v>18</v>
      </c>
      <c r="C21" s="7">
        <f>9203+6346</f>
        <v>15549</v>
      </c>
      <c r="D21" s="7">
        <v>7298</v>
      </c>
      <c r="E21" s="7">
        <v>10633</v>
      </c>
      <c r="F21" s="7">
        <v>9962</v>
      </c>
      <c r="G21" s="7">
        <v>26725</v>
      </c>
      <c r="H21" s="7">
        <v>19460</v>
      </c>
    </row>
    <row r="22" spans="1:8" ht="11.25">
      <c r="A22" s="6"/>
      <c r="B22" s="6" t="s">
        <v>19</v>
      </c>
      <c r="C22" s="7">
        <f>3+833+114100+668893</f>
        <v>783829</v>
      </c>
      <c r="D22" s="7">
        <v>653966</v>
      </c>
      <c r="E22" s="7">
        <v>834558</v>
      </c>
      <c r="F22" s="7">
        <v>1021747</v>
      </c>
      <c r="G22" s="7">
        <v>915357</v>
      </c>
      <c r="H22" s="7">
        <v>1166573</v>
      </c>
    </row>
    <row r="23" spans="1:8" ht="11.25">
      <c r="A23" s="2" t="s">
        <v>20</v>
      </c>
      <c r="B23" s="2"/>
      <c r="C23" s="8">
        <v>10032</v>
      </c>
      <c r="D23" s="8">
        <v>8432</v>
      </c>
      <c r="E23" s="8">
        <v>6580</v>
      </c>
      <c r="F23" s="8">
        <v>5171</v>
      </c>
      <c r="G23" s="8">
        <v>9208</v>
      </c>
      <c r="H23" s="8">
        <v>16380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f>+(C9+G9)/2</f>
        <v>894422.5</v>
      </c>
      <c r="D25" s="7">
        <f>+(866056+D9)/2</f>
        <v>773734</v>
      </c>
      <c r="E25" s="7">
        <f>+(1110451+E9)/2</f>
        <v>951968</v>
      </c>
      <c r="F25" s="7">
        <f>+(1235972+F9)/2</f>
        <v>1143658</v>
      </c>
      <c r="G25" s="7">
        <f>(G9+H9)/2</f>
        <v>1090762</v>
      </c>
      <c r="H25" s="7">
        <f>(H9+1351723)/2</f>
        <v>1283887.5</v>
      </c>
    </row>
    <row r="26" spans="1:8" ht="11.25">
      <c r="A26" s="6" t="s">
        <v>22</v>
      </c>
      <c r="B26" s="6"/>
      <c r="C26" s="7">
        <f aca="true" t="shared" si="4" ref="C26:H26">C27+C28</f>
        <v>382568.5</v>
      </c>
      <c r="D26" s="7">
        <f t="shared" si="4"/>
        <v>515225</v>
      </c>
      <c r="E26" s="7">
        <f t="shared" si="4"/>
        <v>505117</v>
      </c>
      <c r="F26" s="7">
        <f t="shared" si="4"/>
        <v>617181</v>
      </c>
      <c r="G26" s="7">
        <f t="shared" si="4"/>
        <v>594463</v>
      </c>
      <c r="H26" s="7">
        <f t="shared" si="4"/>
        <v>904229</v>
      </c>
    </row>
    <row r="27" spans="1:8" ht="11.25">
      <c r="A27" s="6"/>
      <c r="B27" s="6" t="s">
        <v>12</v>
      </c>
      <c r="C27" s="7">
        <f>+(C11+G11)/2</f>
        <v>380270</v>
      </c>
      <c r="D27" s="7">
        <f>+(636583+D11)/2</f>
        <v>512806</v>
      </c>
      <c r="E27" s="7">
        <f>+(618847+E11)/2</f>
        <v>501467.5</v>
      </c>
      <c r="F27" s="7">
        <f>+(816197+F11)/2</f>
        <v>613324</v>
      </c>
      <c r="G27" s="7">
        <f>(G11+H11)/2</f>
        <v>590295</v>
      </c>
      <c r="H27" s="7">
        <f>(H11+1043119)/2</f>
        <v>898994</v>
      </c>
    </row>
    <row r="28" spans="1:8" ht="11.25">
      <c r="A28" s="6"/>
      <c r="B28" s="6" t="s">
        <v>15</v>
      </c>
      <c r="C28" s="7">
        <f>+(C14+G14)/2</f>
        <v>2298.5</v>
      </c>
      <c r="D28" s="7">
        <f>+(3857+D14)/2</f>
        <v>2419</v>
      </c>
      <c r="E28" s="7">
        <f>+(4164+E14)/2</f>
        <v>3649.5</v>
      </c>
      <c r="F28" s="7">
        <f>+(4414+F14)/2</f>
        <v>3857</v>
      </c>
      <c r="G28" s="7">
        <f>(G14+H14)/2</f>
        <v>4168</v>
      </c>
      <c r="H28" s="7">
        <f>(H14+5750)/2</f>
        <v>5235</v>
      </c>
    </row>
    <row r="29" spans="1:8" ht="11.25">
      <c r="A29" s="2" t="s">
        <v>20</v>
      </c>
      <c r="B29" s="2"/>
      <c r="C29" s="8">
        <f>+(C23+G23)/2</f>
        <v>9620</v>
      </c>
      <c r="D29" s="8">
        <f>+(6631+D23)/2</f>
        <v>7531.5</v>
      </c>
      <c r="E29" s="8">
        <f>+(4319+E23)/2</f>
        <v>5449.5</v>
      </c>
      <c r="F29" s="8">
        <f>+(5881+F23)/2</f>
        <v>5526</v>
      </c>
      <c r="G29" s="8">
        <f>(G23+H23)/2</f>
        <v>12794</v>
      </c>
      <c r="H29" s="8">
        <f>(H23+15379)/2</f>
        <v>15879.5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v>56819</v>
      </c>
      <c r="D31" s="7">
        <v>41892</v>
      </c>
      <c r="E31" s="7">
        <v>30193</v>
      </c>
      <c r="F31" s="7">
        <v>16976</v>
      </c>
      <c r="G31" s="7">
        <v>69937</v>
      </c>
      <c r="H31" s="7">
        <v>105175</v>
      </c>
    </row>
    <row r="32" spans="1:8" ht="11.25">
      <c r="A32" s="6" t="s">
        <v>25</v>
      </c>
      <c r="B32" s="6"/>
      <c r="C32" s="7">
        <v>48734</v>
      </c>
      <c r="D32" s="7">
        <v>35714</v>
      </c>
      <c r="E32" s="7">
        <v>25914</v>
      </c>
      <c r="F32" s="7">
        <v>14734</v>
      </c>
      <c r="G32" s="7">
        <v>58047</v>
      </c>
      <c r="H32" s="7">
        <v>89597</v>
      </c>
    </row>
    <row r="33" spans="1:8" ht="11.25">
      <c r="A33" s="6" t="s">
        <v>26</v>
      </c>
      <c r="B33" s="6"/>
      <c r="C33" s="7">
        <f aca="true" t="shared" si="5" ref="C33:H33">C31-C32</f>
        <v>8085</v>
      </c>
      <c r="D33" s="7">
        <f t="shared" si="5"/>
        <v>6178</v>
      </c>
      <c r="E33" s="7">
        <f t="shared" si="5"/>
        <v>4279</v>
      </c>
      <c r="F33" s="7">
        <f t="shared" si="5"/>
        <v>2242</v>
      </c>
      <c r="G33" s="7">
        <f t="shared" si="5"/>
        <v>11890</v>
      </c>
      <c r="H33" s="7">
        <f t="shared" si="5"/>
        <v>15578</v>
      </c>
    </row>
    <row r="34" spans="1:8" ht="11.25">
      <c r="A34" s="6" t="s">
        <v>27</v>
      </c>
      <c r="B34" s="6"/>
      <c r="C34" s="7">
        <v>1170</v>
      </c>
      <c r="D34" s="7">
        <v>1088</v>
      </c>
      <c r="E34" s="7">
        <v>848</v>
      </c>
      <c r="F34" s="7">
        <v>290</v>
      </c>
      <c r="G34" s="7">
        <v>689</v>
      </c>
      <c r="H34" s="7">
        <v>1260</v>
      </c>
    </row>
    <row r="35" spans="1:8" ht="11.25">
      <c r="A35" s="6" t="s">
        <v>28</v>
      </c>
      <c r="B35" s="6"/>
      <c r="C35" s="7">
        <f aca="true" t="shared" si="6" ref="C35:H35">C33+C34</f>
        <v>9255</v>
      </c>
      <c r="D35" s="7">
        <f t="shared" si="6"/>
        <v>7266</v>
      </c>
      <c r="E35" s="7">
        <f t="shared" si="6"/>
        <v>5127</v>
      </c>
      <c r="F35" s="7">
        <f t="shared" si="6"/>
        <v>2532</v>
      </c>
      <c r="G35" s="7">
        <f t="shared" si="6"/>
        <v>12579</v>
      </c>
      <c r="H35" s="7">
        <f t="shared" si="6"/>
        <v>16838</v>
      </c>
    </row>
    <row r="36" spans="1:8" ht="11.25">
      <c r="A36" s="6" t="s">
        <v>29</v>
      </c>
      <c r="B36" s="6"/>
      <c r="C36" s="7">
        <v>1220</v>
      </c>
      <c r="D36" s="7">
        <v>963</v>
      </c>
      <c r="E36" s="7">
        <v>687</v>
      </c>
      <c r="F36" s="7">
        <v>367</v>
      </c>
      <c r="G36" s="7">
        <v>1402</v>
      </c>
      <c r="H36" s="7">
        <v>2040</v>
      </c>
    </row>
    <row r="37" spans="1:8" ht="11.25">
      <c r="A37" s="6" t="s">
        <v>30</v>
      </c>
      <c r="B37" s="6"/>
      <c r="C37" s="7">
        <f aca="true" t="shared" si="7" ref="C37:H37">C35-C36</f>
        <v>8035</v>
      </c>
      <c r="D37" s="7">
        <f t="shared" si="7"/>
        <v>6303</v>
      </c>
      <c r="E37" s="7">
        <f t="shared" si="7"/>
        <v>4440</v>
      </c>
      <c r="F37" s="7">
        <f t="shared" si="7"/>
        <v>2165</v>
      </c>
      <c r="G37" s="7">
        <f t="shared" si="7"/>
        <v>11177</v>
      </c>
      <c r="H37" s="7">
        <f t="shared" si="7"/>
        <v>14798</v>
      </c>
    </row>
    <row r="38" spans="1:8" ht="11.25">
      <c r="A38" s="2" t="s">
        <v>31</v>
      </c>
      <c r="B38" s="2"/>
      <c r="C38" s="8">
        <v>7033</v>
      </c>
      <c r="D38" s="8">
        <v>5432</v>
      </c>
      <c r="E38" s="8">
        <v>4409</v>
      </c>
      <c r="F38" s="8">
        <v>2174</v>
      </c>
      <c r="G38" s="8">
        <v>6135</v>
      </c>
      <c r="H38" s="8">
        <v>14797</v>
      </c>
    </row>
    <row r="39" spans="1:8" ht="11.25">
      <c r="A39" s="4" t="s">
        <v>32</v>
      </c>
      <c r="B39" s="6"/>
      <c r="C39" s="6"/>
      <c r="D39" s="6"/>
      <c r="E39" s="6"/>
      <c r="F39" s="6"/>
      <c r="G39" s="6"/>
      <c r="H39" s="6"/>
    </row>
    <row r="40" spans="1:8" ht="11.25">
      <c r="A40" s="6" t="s">
        <v>33</v>
      </c>
      <c r="B40" s="6"/>
      <c r="C40" s="7">
        <v>4451</v>
      </c>
      <c r="D40" s="7">
        <v>4451</v>
      </c>
      <c r="E40" s="7">
        <v>4451</v>
      </c>
      <c r="F40" s="7">
        <v>4451</v>
      </c>
      <c r="G40" s="7">
        <v>4451</v>
      </c>
      <c r="H40" s="7">
        <v>0</v>
      </c>
    </row>
    <row r="41" spans="1:8" ht="11.25">
      <c r="A41" s="6" t="s">
        <v>34</v>
      </c>
      <c r="B41" s="6"/>
      <c r="C41" s="7">
        <v>2614</v>
      </c>
      <c r="D41" s="7">
        <v>2614</v>
      </c>
      <c r="E41" s="7">
        <v>2664</v>
      </c>
      <c r="F41" s="7">
        <v>2714</v>
      </c>
      <c r="G41" s="7">
        <v>3207</v>
      </c>
      <c r="H41" s="7">
        <v>0</v>
      </c>
    </row>
    <row r="42" spans="1:8" ht="11.25">
      <c r="A42" s="6" t="s">
        <v>35</v>
      </c>
      <c r="B42" s="6"/>
      <c r="C42" s="9">
        <f aca="true" t="shared" si="8" ref="C42:H42">C40/C11</f>
        <v>0.013293749757331573</v>
      </c>
      <c r="D42" s="9">
        <f t="shared" si="8"/>
        <v>0.011441306432168296</v>
      </c>
      <c r="E42" s="9">
        <f t="shared" si="8"/>
        <v>0.011588490137676783</v>
      </c>
      <c r="F42" s="9">
        <f t="shared" si="8"/>
        <v>0.010844168975102996</v>
      </c>
      <c r="G42" s="9">
        <f t="shared" si="8"/>
        <v>0.0104552042300004</v>
      </c>
      <c r="H42" s="9">
        <f t="shared" si="8"/>
        <v>0</v>
      </c>
    </row>
    <row r="43" spans="1:8" ht="11.25">
      <c r="A43" s="6" t="s">
        <v>36</v>
      </c>
      <c r="B43" s="6"/>
      <c r="C43" s="9">
        <f aca="true" t="shared" si="9" ref="C43:H43">C41/C11</f>
        <v>0.007807203294914565</v>
      </c>
      <c r="D43" s="9">
        <f t="shared" si="9"/>
        <v>0.006719293420284863</v>
      </c>
      <c r="E43" s="9">
        <f t="shared" si="9"/>
        <v>0.0069359105205057175</v>
      </c>
      <c r="F43" s="9">
        <f t="shared" si="9"/>
        <v>0.0066122387325161834</v>
      </c>
      <c r="G43" s="9">
        <f t="shared" si="9"/>
        <v>0.007533102665830438</v>
      </c>
      <c r="H43" s="9">
        <f t="shared" si="9"/>
        <v>0</v>
      </c>
    </row>
    <row r="44" spans="1:8" ht="11.25">
      <c r="A44" s="10" t="s">
        <v>37</v>
      </c>
      <c r="B44" s="6"/>
      <c r="C44" s="9">
        <f aca="true" t="shared" si="10" ref="C44:H44">(C40+C41)/C11</f>
        <v>0.02110095305224614</v>
      </c>
      <c r="D44" s="9">
        <f t="shared" si="10"/>
        <v>0.01816059985245316</v>
      </c>
      <c r="E44" s="9">
        <f t="shared" si="10"/>
        <v>0.0185244006581825</v>
      </c>
      <c r="F44" s="9">
        <f t="shared" si="10"/>
        <v>0.01745640770761918</v>
      </c>
      <c r="G44" s="9">
        <f t="shared" si="10"/>
        <v>0.01798830689583084</v>
      </c>
      <c r="H44" s="9">
        <f t="shared" si="10"/>
        <v>0</v>
      </c>
    </row>
    <row r="45" spans="1:8" ht="11.25">
      <c r="A45" s="6" t="s">
        <v>38</v>
      </c>
      <c r="B45" s="6"/>
      <c r="C45" s="9">
        <f>2670/C11</f>
        <v>0.007974457841400877</v>
      </c>
      <c r="D45" s="9">
        <f>2670/D11</f>
        <v>0.006863241557827309</v>
      </c>
      <c r="E45" s="9">
        <f>2000/E11</f>
        <v>0.005207140030409698</v>
      </c>
      <c r="F45" s="9">
        <f>2000/F11</f>
        <v>0.004872688822782744</v>
      </c>
      <c r="G45" s="9">
        <f>2000/G11</f>
        <v>0.004697912482588362</v>
      </c>
      <c r="H45" s="9">
        <f>0/H11</f>
        <v>0</v>
      </c>
    </row>
    <row r="46" spans="1:8" ht="11.25">
      <c r="A46" s="2" t="s">
        <v>39</v>
      </c>
      <c r="B46" s="2"/>
      <c r="C46" s="11">
        <f>2670/(C40+C41)</f>
        <v>0.37791932059447986</v>
      </c>
      <c r="D46" s="11">
        <f>2670/(D40+D41)</f>
        <v>0.37791932059447986</v>
      </c>
      <c r="E46" s="11">
        <f>2670/(E40+E41)</f>
        <v>0.3752635277582572</v>
      </c>
      <c r="F46" s="11">
        <f>2670/(F40+F41)</f>
        <v>0.37264480111653875</v>
      </c>
      <c r="G46" s="11">
        <f>2670/(G40+G41)</f>
        <v>0.348655001305824</v>
      </c>
      <c r="H46" s="11">
        <v>0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+C29/C25</f>
        <v>0.010755543381343827</v>
      </c>
      <c r="D48" s="9">
        <f t="shared" si="11"/>
        <v>0.009733965419640342</v>
      </c>
      <c r="E48" s="9">
        <f t="shared" si="11"/>
        <v>0.0057244571246092306</v>
      </c>
      <c r="F48" s="9">
        <f t="shared" si="11"/>
        <v>0.00483186407125207</v>
      </c>
      <c r="G48" s="9">
        <f t="shared" si="11"/>
        <v>0.011729414849435533</v>
      </c>
      <c r="H48" s="9">
        <f t="shared" si="11"/>
        <v>0.012368295508757583</v>
      </c>
    </row>
    <row r="49" spans="1:8" ht="11.25">
      <c r="A49" s="2" t="s">
        <v>42</v>
      </c>
      <c r="B49" s="2"/>
      <c r="C49" s="11">
        <f aca="true" t="shared" si="12" ref="C49:H49">+C29/C26</f>
        <v>0.025145823558395425</v>
      </c>
      <c r="D49" s="11">
        <f t="shared" si="12"/>
        <v>0.014617885389878208</v>
      </c>
      <c r="E49" s="11">
        <f t="shared" si="12"/>
        <v>0.010788589574296648</v>
      </c>
      <c r="F49" s="11">
        <f t="shared" si="12"/>
        <v>0.008953613283623443</v>
      </c>
      <c r="G49" s="11">
        <f t="shared" si="12"/>
        <v>0.021521945015921935</v>
      </c>
      <c r="H49" s="11">
        <f t="shared" si="12"/>
        <v>0.017561369962697502</v>
      </c>
    </row>
    <row r="50" spans="1:8" ht="11.25">
      <c r="A50" s="4" t="s">
        <v>43</v>
      </c>
      <c r="B50" s="6"/>
      <c r="C50" s="6"/>
      <c r="D50" s="6"/>
      <c r="E50" s="6"/>
      <c r="F50" s="6"/>
      <c r="G50" s="6"/>
      <c r="H50" s="6"/>
    </row>
    <row r="51" spans="1:8" ht="11.25">
      <c r="A51" s="6" t="s">
        <v>44</v>
      </c>
      <c r="B51" s="6"/>
      <c r="C51" s="9">
        <f aca="true" t="shared" si="13" ref="C51:H51">C10/C15</f>
        <v>0.5936678267352867</v>
      </c>
      <c r="D51" s="9">
        <f t="shared" si="13"/>
        <v>0.4229400058070604</v>
      </c>
      <c r="E51" s="9">
        <f t="shared" si="13"/>
        <v>0.4690265277316015</v>
      </c>
      <c r="F51" s="9">
        <f t="shared" si="13"/>
        <v>0.6051144266454979</v>
      </c>
      <c r="G51" s="9">
        <f t="shared" si="13"/>
        <v>0.55760538891519</v>
      </c>
      <c r="H51" s="9">
        <f t="shared" si="13"/>
        <v>0.36980758545504216</v>
      </c>
    </row>
    <row r="52" spans="1:8" ht="11.25">
      <c r="A52" s="6" t="s">
        <v>45</v>
      </c>
      <c r="B52" s="6"/>
      <c r="C52" s="9">
        <f aca="true" t="shared" si="14" ref="C52:H52">C10/C9</f>
        <v>0.5763669685549563</v>
      </c>
      <c r="D52" s="9">
        <f t="shared" si="14"/>
        <v>0.4104345095184705</v>
      </c>
      <c r="E52" s="9">
        <f t="shared" si="14"/>
        <v>0.49958978430594153</v>
      </c>
      <c r="F52" s="9">
        <f t="shared" si="14"/>
        <v>0.5938132523702994</v>
      </c>
      <c r="G52" s="9">
        <f t="shared" si="14"/>
        <v>0.5440965662391037</v>
      </c>
      <c r="H52" s="9">
        <f t="shared" si="14"/>
        <v>0.3606786551890873</v>
      </c>
    </row>
    <row r="53" spans="1:8" ht="11.25">
      <c r="A53" s="2" t="s">
        <v>46</v>
      </c>
      <c r="B53" s="2"/>
      <c r="C53" s="11">
        <f aca="true" t="shared" si="15" ref="C53:H53">(C10+C14)/C15</f>
        <v>0.5948950308865143</v>
      </c>
      <c r="D53" s="11">
        <f t="shared" si="15"/>
        <v>0.4244235282731254</v>
      </c>
      <c r="E53" s="11">
        <f t="shared" si="15"/>
        <v>0.47273574848761996</v>
      </c>
      <c r="F53" s="11">
        <f t="shared" si="15"/>
        <v>0.6083130029882458</v>
      </c>
      <c r="G53" s="11">
        <f t="shared" si="15"/>
        <v>0.5614436959840013</v>
      </c>
      <c r="H53" s="11">
        <f t="shared" si="15"/>
        <v>0.3737872386350127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12">
        <f>C38/C26</f>
        <v>0.018383635871745845</v>
      </c>
      <c r="D55" s="12">
        <f>(D38/0.75)/D26</f>
        <v>0.014057288886732335</v>
      </c>
      <c r="E55" s="12">
        <f>(E38/0.5)/E26</f>
        <v>0.017457341566409365</v>
      </c>
      <c r="F55" s="9">
        <f>((F38)/0.25)/F26</f>
        <v>0.01408986990850334</v>
      </c>
      <c r="G55" s="9">
        <f>G38/G26</f>
        <v>0.010320238601897846</v>
      </c>
      <c r="H55" s="9">
        <f>H38/H26</f>
        <v>0.01636421747145911</v>
      </c>
    </row>
    <row r="56" spans="1:8" ht="11.25">
      <c r="A56" s="6" t="s">
        <v>49</v>
      </c>
      <c r="B56" s="6"/>
      <c r="C56" s="12">
        <f>C38/C25</f>
        <v>0.007863174282847312</v>
      </c>
      <c r="D56" s="12">
        <f>(D38/0.75)/D25</f>
        <v>0.009360667447296703</v>
      </c>
      <c r="E56" s="12">
        <f>(E38/0.5)/E25</f>
        <v>0.00926291640055128</v>
      </c>
      <c r="F56" s="9">
        <f>((F38)/0.25)/F25</f>
        <v>0.007603671727037279</v>
      </c>
      <c r="G56" s="9">
        <f>G38/G25</f>
        <v>0.005624508371212052</v>
      </c>
      <c r="H56" s="9">
        <f>H38/H25</f>
        <v>0.01152515309947328</v>
      </c>
    </row>
    <row r="57" spans="1:8" ht="11.25">
      <c r="A57" s="6" t="s">
        <v>50</v>
      </c>
      <c r="B57" s="6"/>
      <c r="C57" s="12">
        <f>+C38/C29</f>
        <v>0.731081081081081</v>
      </c>
      <c r="D57" s="12">
        <f>(D38/0.75)/D29</f>
        <v>0.9616499590608334</v>
      </c>
      <c r="E57" s="12">
        <f>(E38/0.5)/E29</f>
        <v>1.6181301036792366</v>
      </c>
      <c r="F57" s="9">
        <f>((F38)/0.25)/F29</f>
        <v>1.573651827723489</v>
      </c>
      <c r="G57" s="9">
        <f>G38/G29</f>
        <v>0.4795216507738002</v>
      </c>
      <c r="H57" s="9">
        <f>H38/H29</f>
        <v>0.9318303473031266</v>
      </c>
    </row>
    <row r="58" spans="1:8" ht="11.25">
      <c r="A58" s="6" t="s">
        <v>51</v>
      </c>
      <c r="B58" s="6"/>
      <c r="C58" s="12">
        <f>C31/C25</f>
        <v>0.06352590638093294</v>
      </c>
      <c r="D58" s="12">
        <f>(D31/0.75)/D25</f>
        <v>0.07219018422351868</v>
      </c>
      <c r="E58" s="12">
        <f>(E31/0.5)/E25</f>
        <v>0.0634328044640156</v>
      </c>
      <c r="F58" s="9">
        <f>((F31)/0.25)/F25</f>
        <v>0.05937439339382927</v>
      </c>
      <c r="G58" s="9">
        <f>G31/G25</f>
        <v>0.06411756185125628</v>
      </c>
      <c r="H58" s="9">
        <f>H31/H25</f>
        <v>0.0819191712669529</v>
      </c>
    </row>
    <row r="59" spans="1:8" ht="11.25">
      <c r="A59" s="6" t="s">
        <v>52</v>
      </c>
      <c r="B59" s="6"/>
      <c r="C59" s="12">
        <f>C32/C25</f>
        <v>0.054486554173223505</v>
      </c>
      <c r="D59" s="12">
        <f>(D32/0.75)/D25</f>
        <v>0.061543975922819294</v>
      </c>
      <c r="E59" s="12">
        <f>(E32/0.5)/E25</f>
        <v>0.05444300648761303</v>
      </c>
      <c r="F59" s="9">
        <f>((F32)/0.25)/F25</f>
        <v>0.0515328883285038</v>
      </c>
      <c r="G59" s="9">
        <f>G32/G25</f>
        <v>0.05321692541544352</v>
      </c>
      <c r="H59" s="9">
        <f>H32/H25</f>
        <v>0.06978570941768651</v>
      </c>
    </row>
    <row r="60" spans="1:8" ht="11.25">
      <c r="A60" s="6" t="s">
        <v>53</v>
      </c>
      <c r="B60" s="6"/>
      <c r="C60" s="12">
        <f>C33/C25</f>
        <v>0.009039352207709444</v>
      </c>
      <c r="D60" s="12">
        <f>(D33/0.75)/D25</f>
        <v>0.01064620830069938</v>
      </c>
      <c r="E60" s="12">
        <f>(E33/0.5)/E25</f>
        <v>0.008989797976402569</v>
      </c>
      <c r="F60" s="9">
        <f>((F33)/0.25)/F25</f>
        <v>0.007841505065325473</v>
      </c>
      <c r="G60" s="9">
        <f>G33/G25</f>
        <v>0.010900636435812763</v>
      </c>
      <c r="H60" s="9">
        <f>H33/H25</f>
        <v>0.012133461849266388</v>
      </c>
    </row>
    <row r="61" spans="1:8" ht="11.25">
      <c r="A61" s="6" t="s">
        <v>54</v>
      </c>
      <c r="B61" s="6"/>
      <c r="C61" s="12">
        <f>C36/C35</f>
        <v>0.1318206374932469</v>
      </c>
      <c r="D61" s="12">
        <f>(D36/0.75)/(D35/0.75)</f>
        <v>0.13253509496284063</v>
      </c>
      <c r="E61" s="12">
        <f>(E36/0.5)/(E35/0.5)</f>
        <v>0.1339964891749561</v>
      </c>
      <c r="F61" s="9">
        <f>(F36/0.25)/(F35/0.25)</f>
        <v>0.14494470774091628</v>
      </c>
      <c r="G61" s="9">
        <f>G36/G35</f>
        <v>0.11145560060418157</v>
      </c>
      <c r="H61" s="9">
        <f>H36/H35</f>
        <v>0.1211545314170329</v>
      </c>
    </row>
    <row r="62" spans="1:8" ht="11.25">
      <c r="A62" s="2" t="s">
        <v>55</v>
      </c>
      <c r="B62" s="2"/>
      <c r="C62" s="13">
        <f>C34/C25</f>
        <v>0.0013081066274607358</v>
      </c>
      <c r="D62" s="13">
        <f>(D34/0.75)/D25</f>
        <v>0.0018748906816382202</v>
      </c>
      <c r="E62" s="13">
        <f>(E34/0.5)/E25</f>
        <v>0.001781572489831591</v>
      </c>
      <c r="F62" s="11">
        <f>(F34/0.25)/F25</f>
        <v>0.0010142892368173002</v>
      </c>
      <c r="G62" s="11">
        <f>G34/G25</f>
        <v>0.0006316685033031954</v>
      </c>
      <c r="H62" s="11">
        <f>H34/H25</f>
        <v>0.0009813943978736455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f>16+1</f>
        <v>17</v>
      </c>
      <c r="D64" s="7">
        <f>14+1</f>
        <v>15</v>
      </c>
      <c r="E64" s="7">
        <v>15</v>
      </c>
      <c r="F64" s="7">
        <v>16</v>
      </c>
      <c r="G64" s="7">
        <v>16</v>
      </c>
      <c r="H64" s="7">
        <v>19</v>
      </c>
    </row>
    <row r="65" spans="1:8" ht="11.25">
      <c r="A65" s="6" t="s">
        <v>58</v>
      </c>
      <c r="B65" s="6"/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ht="11.25">
      <c r="A66" s="6" t="s">
        <v>59</v>
      </c>
      <c r="B66" s="6"/>
      <c r="C66" s="7">
        <f aca="true" t="shared" si="16" ref="C66:H66">C11/C64</f>
        <v>19695.235294117647</v>
      </c>
      <c r="D66" s="7">
        <f t="shared" si="16"/>
        <v>25935.266666666666</v>
      </c>
      <c r="E66" s="7">
        <f t="shared" si="16"/>
        <v>25605.866666666665</v>
      </c>
      <c r="F66" s="7">
        <f t="shared" si="16"/>
        <v>25653.1875</v>
      </c>
      <c r="G66" s="7">
        <f t="shared" si="16"/>
        <v>26607.5625</v>
      </c>
      <c r="H66" s="7">
        <f t="shared" si="16"/>
        <v>39729.94736842105</v>
      </c>
    </row>
    <row r="67" spans="1:8" ht="11.25">
      <c r="A67" s="6" t="s">
        <v>60</v>
      </c>
      <c r="B67" s="6"/>
      <c r="C67" s="7">
        <f aca="true" t="shared" si="17" ref="C67:H67">+C15/C64</f>
        <v>47022.23529411765</v>
      </c>
      <c r="D67" s="7">
        <f t="shared" si="17"/>
        <v>44084.26666666667</v>
      </c>
      <c r="E67" s="7">
        <f t="shared" si="17"/>
        <v>56346.066666666666</v>
      </c>
      <c r="F67" s="7">
        <f t="shared" si="17"/>
        <v>64481.8125</v>
      </c>
      <c r="G67" s="7">
        <f t="shared" si="17"/>
        <v>58880.125</v>
      </c>
      <c r="H67" s="7">
        <f t="shared" si="17"/>
        <v>62422.78947368421</v>
      </c>
    </row>
    <row r="68" spans="1:8" ht="11.25">
      <c r="A68" s="2" t="s">
        <v>61</v>
      </c>
      <c r="B68" s="2"/>
      <c r="C68" s="8">
        <f aca="true" t="shared" si="18" ref="C68:H68">+C38/C64</f>
        <v>413.70588235294116</v>
      </c>
      <c r="D68" s="8">
        <f t="shared" si="18"/>
        <v>362.1333333333333</v>
      </c>
      <c r="E68" s="8">
        <f t="shared" si="18"/>
        <v>293.93333333333334</v>
      </c>
      <c r="F68" s="8">
        <f t="shared" si="18"/>
        <v>135.875</v>
      </c>
      <c r="G68" s="8">
        <f t="shared" si="18"/>
        <v>383.4375</v>
      </c>
      <c r="H68" s="8">
        <f t="shared" si="18"/>
        <v>778.7894736842105</v>
      </c>
    </row>
    <row r="69" spans="1:8" ht="11.25">
      <c r="A69" s="4" t="s">
        <v>62</v>
      </c>
      <c r="B69" s="6"/>
      <c r="C69" s="6"/>
      <c r="D69" s="6"/>
      <c r="E69" s="6"/>
      <c r="F69" s="6"/>
      <c r="G69" s="6"/>
      <c r="H69" s="6"/>
    </row>
    <row r="70" spans="1:8" ht="11.25">
      <c r="A70" s="6" t="s">
        <v>63</v>
      </c>
      <c r="B70" s="6"/>
      <c r="C70" s="9">
        <f>+(C9/G9)-1</f>
        <v>-0.14718086076033277</v>
      </c>
      <c r="D70" s="9">
        <f>+(D9/866056)-1</f>
        <v>-0.21320099393110836</v>
      </c>
      <c r="E70" s="9">
        <f>+(E9/1110451)-1</f>
        <v>-0.28543897929760076</v>
      </c>
      <c r="F70" s="9">
        <f>+(F9/1235972)-1</f>
        <v>-0.14937878851624475</v>
      </c>
      <c r="G70" s="9">
        <f>+(G9/H9)-1</f>
        <v>-0.206060267159628</v>
      </c>
      <c r="H70" s="9">
        <f>(H9/1351723)-1</f>
        <v>-0.10036893653507417</v>
      </c>
    </row>
    <row r="71" spans="1:8" ht="11.25">
      <c r="A71" s="6" t="s">
        <v>64</v>
      </c>
      <c r="B71" s="6"/>
      <c r="C71" s="9">
        <f aca="true" t="shared" si="19" ref="C71:H71">SUM(C72:C73)</f>
        <v>-0.21352482024612363</v>
      </c>
      <c r="D71" s="9">
        <f t="shared" si="19"/>
        <v>-0.388879376295</v>
      </c>
      <c r="E71" s="9">
        <f t="shared" si="19"/>
        <v>-0.3793490151846902</v>
      </c>
      <c r="F71" s="9">
        <f t="shared" si="19"/>
        <v>-0.4971177301558325</v>
      </c>
      <c r="G71" s="9">
        <f t="shared" si="19"/>
        <v>-0.43603327199818775</v>
      </c>
      <c r="H71" s="9">
        <f t="shared" si="19"/>
        <v>-0.27633472307569895</v>
      </c>
    </row>
    <row r="72" spans="1:8" ht="11.25">
      <c r="A72" s="6"/>
      <c r="B72" s="6" t="s">
        <v>13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1.25">
      <c r="A73" s="6"/>
      <c r="B73" s="6" t="s">
        <v>14</v>
      </c>
      <c r="C73" s="9">
        <f>+(C13/G13)-1</f>
        <v>-0.21352482024612363</v>
      </c>
      <c r="D73" s="9">
        <f>+(D13/636583)-1</f>
        <v>-0.388879376295</v>
      </c>
      <c r="E73" s="9">
        <f>+(E13/618847)-1</f>
        <v>-0.3793490151846902</v>
      </c>
      <c r="F73" s="9">
        <f>+(F13/816197)-1</f>
        <v>-0.4971177301558325</v>
      </c>
      <c r="G73" s="9">
        <f>+(G13/H13)-1</f>
        <v>-0.43603327199818775</v>
      </c>
      <c r="H73" s="9">
        <f>+(H13/1043119)-1</f>
        <v>-0.27633472307569895</v>
      </c>
    </row>
    <row r="74" spans="1:8" ht="11.25">
      <c r="A74" s="6" t="s">
        <v>65</v>
      </c>
      <c r="B74" s="6"/>
      <c r="C74" s="9">
        <f aca="true" t="shared" si="20" ref="C74:H74">SUM(C75:C76)</f>
        <v>-0.15147725994127903</v>
      </c>
      <c r="D74" s="9">
        <f t="shared" si="20"/>
        <v>-0.2156466433945502</v>
      </c>
      <c r="E74" s="9">
        <f t="shared" si="20"/>
        <v>-0.2243264177852503</v>
      </c>
      <c r="F74" s="9">
        <f t="shared" si="20"/>
        <v>-0.1509106007273613</v>
      </c>
      <c r="G74" s="9">
        <f t="shared" si="20"/>
        <v>-0.205686519683685</v>
      </c>
      <c r="H74" s="9">
        <f t="shared" si="20"/>
        <v>-0.10107473908397058</v>
      </c>
    </row>
    <row r="75" spans="1:8" ht="11.25">
      <c r="A75" s="6"/>
      <c r="B75" s="6" t="s">
        <v>13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1.25">
      <c r="A76" s="6"/>
      <c r="B76" s="6" t="s">
        <v>14</v>
      </c>
      <c r="C76" s="9">
        <f>+(C20/G20)-1</f>
        <v>-0.15147725994127903</v>
      </c>
      <c r="D76" s="14">
        <f>+(D20/843069)-1</f>
        <v>-0.2156466433945502</v>
      </c>
      <c r="E76" s="14">
        <f>+(E20/1089622)-1</f>
        <v>-0.2243264177852503</v>
      </c>
      <c r="F76" s="14">
        <f>+(F20/1215077)-1</f>
        <v>-0.1509106007273613</v>
      </c>
      <c r="G76" s="9">
        <f>+(G20/H20)-1</f>
        <v>-0.205686519683685</v>
      </c>
      <c r="H76" s="9">
        <f>+(H20/1319390)-1</f>
        <v>-0.10107473908397058</v>
      </c>
    </row>
    <row r="77" spans="1:8" ht="11.25">
      <c r="A77" s="6" t="s">
        <v>66</v>
      </c>
      <c r="B77" s="6"/>
      <c r="C77" s="14">
        <f>+(C23/G23)-1</f>
        <v>0.08948740225890539</v>
      </c>
      <c r="D77" s="14">
        <f>+(D23/6631)-1</f>
        <v>0.271603076459056</v>
      </c>
      <c r="E77" s="14">
        <f>+(E23/4319)-1</f>
        <v>0.5235008103727714</v>
      </c>
      <c r="F77" s="14">
        <f>+(F23/5881)-1</f>
        <v>-0.12072776738649893</v>
      </c>
      <c r="G77" s="14">
        <f>+(G23/H23)-1</f>
        <v>-0.43785103785103785</v>
      </c>
      <c r="H77" s="14">
        <f>(H23/15379)-1</f>
        <v>0.06508875739644981</v>
      </c>
    </row>
    <row r="78" spans="1:8" ht="11.25">
      <c r="A78" s="2" t="s">
        <v>67</v>
      </c>
      <c r="B78" s="2"/>
      <c r="C78" s="11">
        <f>+(C38/G38)-1</f>
        <v>0.14637326813365936</v>
      </c>
      <c r="D78" s="11">
        <f>+(D38/3664)-1</f>
        <v>0.482532751091703</v>
      </c>
      <c r="E78" s="11">
        <f>+(E38/1317)-1</f>
        <v>2.3477600607441156</v>
      </c>
      <c r="F78" s="11">
        <f>+(F38/2881)-1</f>
        <v>-0.24540090246442203</v>
      </c>
      <c r="G78" s="11">
        <f>+(G38/H38)-1</f>
        <v>-0.5853889301885518</v>
      </c>
      <c r="H78" s="11">
        <f>+(H38/14182)-1</f>
        <v>0.04336482865604285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2002-05-02T19:42:12Z</cp:lastPrinted>
  <dcterms:created xsi:type="dcterms:W3CDTF">2002-03-08T15:43:24Z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