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ta Cruz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<sst xmlns="http://schemas.openxmlformats.org/spreadsheetml/2006/main" count="80" uniqueCount="68">
  <si>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19-15   BANCO SANTA CRUZ,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</si>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</sst>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19" applyNumberFormat="1" applyFont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11.421875" defaultRowHeight="12.75"/>
  <cols>
    <col min="1" max="1" width="3.57421875" style="1" customWidth="1"/>
    <col min="2" max="2" width="34.28125" style="1" customWidth="1"/>
    <col min="3" max="3" width="11.421875" style="1" customWidth="1"/>
    <col min="4" max="4" width="10.00390625" style="1" customWidth="1"/>
    <col min="5" max="5" width="9.140625" style="1" customWidth="1"/>
    <col min="6" max="6" width="9.7109375" style="1" customWidth="1"/>
    <col min="7" max="16384" width="11.421875" style="1" customWidth="1"/>
  </cols>
  <sheetData>
    <row r="1" spans="2:8" ht="11.25">
      <c r="B1" s="17"/>
      <c r="C1" s="17"/>
      <c r="D1" s="17"/>
      <c r="E1" s="17"/>
      <c r="F1" s="17"/>
      <c r="G1" s="17"/>
      <c r="H1" s="17"/>
    </row>
    <row r="2" spans="2:8" ht="11.25">
      <c r="B2" s="17"/>
      <c r="C2" s="17"/>
      <c r="D2" s="17"/>
      <c r="E2" s="17"/>
      <c r="F2" s="17" t="s">
        <v>0</v>
      </c>
      <c r="G2" s="17"/>
      <c r="H2" s="17"/>
    </row>
    <row r="3" spans="2:8" ht="11.25">
      <c r="B3" s="18"/>
      <c r="C3" s="18"/>
      <c r="D3" s="18"/>
      <c r="E3" s="18"/>
      <c r="F3" s="17" t="s">
        <v>1</v>
      </c>
      <c r="G3" s="18"/>
      <c r="H3" s="18"/>
    </row>
    <row r="4" spans="1:8" ht="11.25">
      <c r="A4" s="18"/>
      <c r="B4" s="18"/>
      <c r="C4" s="18"/>
      <c r="D4" s="18"/>
      <c r="E4" s="18"/>
      <c r="F4" s="18" t="s">
        <v>2</v>
      </c>
      <c r="G4" s="18"/>
      <c r="H4" s="18"/>
    </row>
    <row r="5" spans="1:8" ht="11.25">
      <c r="A5" s="18"/>
      <c r="B5" s="18"/>
      <c r="C5" s="18"/>
      <c r="D5" s="18"/>
      <c r="E5" s="18"/>
      <c r="F5" s="18"/>
      <c r="G5" s="18"/>
      <c r="H5" s="18"/>
    </row>
    <row r="6" spans="1:8" ht="11.25">
      <c r="A6" s="18"/>
      <c r="B6" s="18"/>
      <c r="C6" s="18"/>
      <c r="D6" s="18"/>
      <c r="E6" s="18"/>
      <c r="F6" s="18"/>
      <c r="G6" s="18"/>
      <c r="H6" s="18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148414</v>
      </c>
      <c r="D9" s="8">
        <v>203732</v>
      </c>
      <c r="E9" s="8">
        <v>214420</v>
      </c>
      <c r="F9" s="8">
        <v>236138</v>
      </c>
      <c r="G9" s="8">
        <v>268931</v>
      </c>
      <c r="H9" s="8">
        <v>194972</v>
      </c>
    </row>
    <row r="10" spans="1:8" ht="11.25">
      <c r="A10" s="7" t="s">
        <v>11</v>
      </c>
      <c r="B10" s="7"/>
      <c r="C10" s="8">
        <v>1026</v>
      </c>
      <c r="D10" s="8">
        <v>103536</v>
      </c>
      <c r="E10" s="8">
        <v>972</v>
      </c>
      <c r="F10" s="8">
        <v>4159</v>
      </c>
      <c r="G10" s="8">
        <v>26222</v>
      </c>
      <c r="H10" s="8">
        <v>97173</v>
      </c>
    </row>
    <row r="11" spans="1:8" ht="11.25">
      <c r="A11" s="7" t="s">
        <v>12</v>
      </c>
      <c r="B11" s="7"/>
      <c r="C11" s="8">
        <f aca="true" t="shared" si="0" ref="C11:H11">C12+C13</f>
        <v>16278</v>
      </c>
      <c r="D11" s="8">
        <f t="shared" si="0"/>
        <v>27079</v>
      </c>
      <c r="E11" s="8">
        <f t="shared" si="0"/>
        <v>31827</v>
      </c>
      <c r="F11" s="8">
        <f t="shared" si="0"/>
        <v>42518</v>
      </c>
      <c r="G11" s="8">
        <f t="shared" si="0"/>
        <v>59019</v>
      </c>
      <c r="H11" s="8">
        <f t="shared" si="0"/>
        <v>57506</v>
      </c>
    </row>
    <row r="12" spans="1:8" ht="11.25">
      <c r="A12" s="7"/>
      <c r="B12" s="7" t="s">
        <v>13</v>
      </c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16278</v>
      </c>
      <c r="D13" s="8">
        <v>27079</v>
      </c>
      <c r="E13" s="8">
        <v>31827</v>
      </c>
      <c r="F13" s="8">
        <v>42518</v>
      </c>
      <c r="G13" s="8">
        <v>59019</v>
      </c>
      <c r="H13" s="8">
        <v>57506</v>
      </c>
    </row>
    <row r="14" spans="1:8" ht="11.25">
      <c r="A14" s="7" t="s">
        <v>15</v>
      </c>
      <c r="B14" s="7"/>
      <c r="C14" s="8">
        <v>586</v>
      </c>
      <c r="D14" s="8">
        <v>60195</v>
      </c>
      <c r="E14" s="8">
        <v>151693</v>
      </c>
      <c r="F14" s="8">
        <v>174610</v>
      </c>
      <c r="G14" s="8">
        <v>171262</v>
      </c>
      <c r="H14" s="8">
        <v>35992</v>
      </c>
    </row>
    <row r="15" spans="1:8" ht="11.25">
      <c r="A15" s="7" t="s">
        <v>16</v>
      </c>
      <c r="B15" s="7"/>
      <c r="C15" s="8">
        <f aca="true" t="shared" si="1" ref="C15:H15">C16+C20</f>
        <v>133593</v>
      </c>
      <c r="D15" s="8">
        <f t="shared" si="1"/>
        <v>189865</v>
      </c>
      <c r="E15" s="8">
        <f t="shared" si="1"/>
        <v>194994</v>
      </c>
      <c r="F15" s="8">
        <f t="shared" si="1"/>
        <v>195726</v>
      </c>
      <c r="G15" s="8">
        <f t="shared" si="1"/>
        <v>186224</v>
      </c>
      <c r="H15" s="8">
        <f t="shared" si="1"/>
        <v>127201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133593</v>
      </c>
      <c r="D20" s="8">
        <f t="shared" si="3"/>
        <v>189865</v>
      </c>
      <c r="E20" s="8">
        <f t="shared" si="3"/>
        <v>194994</v>
      </c>
      <c r="F20" s="8">
        <f t="shared" si="3"/>
        <v>195726</v>
      </c>
      <c r="G20" s="8">
        <f t="shared" si="3"/>
        <v>186224</v>
      </c>
      <c r="H20" s="8">
        <f t="shared" si="3"/>
        <v>127201</v>
      </c>
    </row>
    <row r="21" spans="1:8" ht="11.25">
      <c r="A21" s="7"/>
      <c r="B21" s="7" t="s">
        <v>18</v>
      </c>
      <c r="C21" s="8">
        <f>1826+131767</f>
        <v>133593</v>
      </c>
      <c r="D21" s="8">
        <v>189865</v>
      </c>
      <c r="E21" s="8">
        <v>194994</v>
      </c>
      <c r="F21" s="8">
        <v>193226</v>
      </c>
      <c r="G21" s="8">
        <v>186147</v>
      </c>
      <c r="H21" s="8">
        <v>122783</v>
      </c>
    </row>
    <row r="22" spans="1:8" ht="11.25">
      <c r="A22" s="7"/>
      <c r="B22" s="7" t="s">
        <v>19</v>
      </c>
      <c r="C22" s="8">
        <v>0</v>
      </c>
      <c r="D22" s="8">
        <v>0</v>
      </c>
      <c r="E22" s="8">
        <v>0</v>
      </c>
      <c r="F22" s="8">
        <v>2500</v>
      </c>
      <c r="G22" s="8">
        <v>77</v>
      </c>
      <c r="H22" s="8">
        <v>4418</v>
      </c>
    </row>
    <row r="23" spans="1:8" ht="11.25">
      <c r="A23" s="3" t="s">
        <v>20</v>
      </c>
      <c r="B23" s="3"/>
      <c r="C23" s="9">
        <v>5019</v>
      </c>
      <c r="D23" s="9">
        <v>7329</v>
      </c>
      <c r="E23" s="9">
        <v>8564</v>
      </c>
      <c r="F23" s="9">
        <v>7514</v>
      </c>
      <c r="G23" s="9">
        <v>9271</v>
      </c>
      <c r="H23" s="9">
        <v>6815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208672.5</v>
      </c>
      <c r="D25" s="8">
        <f>+(329966+D9)/2</f>
        <v>266849</v>
      </c>
      <c r="E25" s="8">
        <f>+(320018+E9)/2</f>
        <v>267219</v>
      </c>
      <c r="F25" s="8">
        <f>+(235098+F9)/2</f>
        <v>235618</v>
      </c>
      <c r="G25" s="8">
        <f>(G9+H9)/2</f>
        <v>231951.5</v>
      </c>
      <c r="H25" s="8">
        <f>(H9+114143)/2</f>
        <v>154557.5</v>
      </c>
    </row>
    <row r="26" spans="1:8" ht="11.25">
      <c r="A26" s="7" t="s">
        <v>22</v>
      </c>
      <c r="B26" s="7"/>
      <c r="C26" s="8">
        <f aca="true" t="shared" si="4" ref="C26:H26">C27+C28</f>
        <v>123572.5</v>
      </c>
      <c r="D26" s="8">
        <f t="shared" si="4"/>
        <v>183162</v>
      </c>
      <c r="E26" s="8">
        <f t="shared" si="4"/>
        <v>217897</v>
      </c>
      <c r="F26" s="8">
        <f t="shared" si="4"/>
        <v>179380.5</v>
      </c>
      <c r="G26" s="8">
        <f t="shared" si="4"/>
        <v>161889.5</v>
      </c>
      <c r="H26" s="8">
        <f t="shared" si="4"/>
        <v>85151</v>
      </c>
    </row>
    <row r="27" spans="1:8" ht="11.25">
      <c r="A27" s="7"/>
      <c r="B27" s="7" t="s">
        <v>12</v>
      </c>
      <c r="C27" s="8">
        <f>+(C11+G11)/2</f>
        <v>37648.5</v>
      </c>
      <c r="D27" s="8">
        <f>+(77486+D11)/2</f>
        <v>52282.5</v>
      </c>
      <c r="E27" s="8">
        <f>+(97775+E11)/2</f>
        <v>64801</v>
      </c>
      <c r="F27" s="8">
        <f>+(95337+F11)/2</f>
        <v>68927.5</v>
      </c>
      <c r="G27" s="8">
        <f>(G11+H11)/2</f>
        <v>58262.5</v>
      </c>
      <c r="H27" s="8">
        <f>(H11+58025)/2</f>
        <v>57765.5</v>
      </c>
    </row>
    <row r="28" spans="1:8" ht="11.25">
      <c r="A28" s="7"/>
      <c r="B28" s="7" t="s">
        <v>15</v>
      </c>
      <c r="C28" s="8">
        <f>+(C14+G14)/2</f>
        <v>85924</v>
      </c>
      <c r="D28" s="8">
        <f>+(201564+D14)/2</f>
        <v>130879.5</v>
      </c>
      <c r="E28" s="8">
        <f>+(154499+E14)/2</f>
        <v>153096</v>
      </c>
      <c r="F28" s="8">
        <f>+(46296+F14)/2</f>
        <v>110453</v>
      </c>
      <c r="G28" s="8">
        <f>(G14+H14)/2</f>
        <v>103627</v>
      </c>
      <c r="H28" s="8">
        <f>(H14+18779)/2</f>
        <v>27385.5</v>
      </c>
    </row>
    <row r="29" spans="1:8" ht="11.25">
      <c r="A29" s="3" t="s">
        <v>20</v>
      </c>
      <c r="B29" s="3"/>
      <c r="C29" s="9">
        <f>+(C23+G23)/2</f>
        <v>7145</v>
      </c>
      <c r="D29" s="9">
        <f>+(8356+D23)/2</f>
        <v>7842.5</v>
      </c>
      <c r="E29" s="9">
        <f>+(7305+E23)/2</f>
        <v>7934.5</v>
      </c>
      <c r="F29" s="9">
        <f>+(6878+F23)/2</f>
        <v>7196</v>
      </c>
      <c r="G29" s="9">
        <f>(G23+H23)/2</f>
        <v>8043</v>
      </c>
      <c r="H29" s="9">
        <f>(H23+6664)/2</f>
        <v>6739.5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16182</v>
      </c>
      <c r="D31" s="8">
        <v>14608</v>
      </c>
      <c r="E31" s="8">
        <v>11087</v>
      </c>
      <c r="F31" s="8">
        <v>5904</v>
      </c>
      <c r="G31" s="8">
        <v>24528</v>
      </c>
      <c r="H31" s="8">
        <v>11737</v>
      </c>
    </row>
    <row r="32" spans="1:8" ht="11.25">
      <c r="A32" s="7" t="s">
        <v>25</v>
      </c>
      <c r="B32" s="7"/>
      <c r="C32" s="8">
        <v>17081</v>
      </c>
      <c r="D32" s="8">
        <v>13569</v>
      </c>
      <c r="E32" s="8">
        <v>9385</v>
      </c>
      <c r="F32" s="8">
        <v>4922</v>
      </c>
      <c r="G32" s="8">
        <v>21033</v>
      </c>
      <c r="H32" s="8">
        <v>9226</v>
      </c>
    </row>
    <row r="33" spans="1:8" ht="11.25">
      <c r="A33" s="7" t="s">
        <v>26</v>
      </c>
      <c r="B33" s="7"/>
      <c r="C33" s="8">
        <f aca="true" t="shared" si="5" ref="C33:H33">C31-C32</f>
        <v>-899</v>
      </c>
      <c r="D33" s="8">
        <f t="shared" si="5"/>
        <v>1039</v>
      </c>
      <c r="E33" s="8">
        <f t="shared" si="5"/>
        <v>1702</v>
      </c>
      <c r="F33" s="8">
        <f t="shared" si="5"/>
        <v>982</v>
      </c>
      <c r="G33" s="8">
        <f t="shared" si="5"/>
        <v>3495</v>
      </c>
      <c r="H33" s="8">
        <f t="shared" si="5"/>
        <v>2511</v>
      </c>
    </row>
    <row r="34" spans="1:8" ht="11.25">
      <c r="A34" s="7" t="s">
        <v>27</v>
      </c>
      <c r="B34" s="7"/>
      <c r="C34" s="8">
        <v>766</v>
      </c>
      <c r="D34" s="8">
        <v>736</v>
      </c>
      <c r="E34" s="8">
        <v>667</v>
      </c>
      <c r="F34" s="8">
        <v>78</v>
      </c>
      <c r="G34" s="8">
        <v>611</v>
      </c>
      <c r="H34" s="8">
        <v>549</v>
      </c>
    </row>
    <row r="35" spans="1:8" ht="11.25">
      <c r="A35" s="7" t="s">
        <v>28</v>
      </c>
      <c r="B35" s="7"/>
      <c r="C35" s="8">
        <f aca="true" t="shared" si="6" ref="C35:H35">C33+C34</f>
        <v>-133</v>
      </c>
      <c r="D35" s="8">
        <f t="shared" si="6"/>
        <v>1775</v>
      </c>
      <c r="E35" s="8">
        <f t="shared" si="6"/>
        <v>2369</v>
      </c>
      <c r="F35" s="8">
        <f t="shared" si="6"/>
        <v>1060</v>
      </c>
      <c r="G35" s="8">
        <f t="shared" si="6"/>
        <v>4106</v>
      </c>
      <c r="H35" s="8">
        <f t="shared" si="6"/>
        <v>3060</v>
      </c>
    </row>
    <row r="36" spans="1:8" ht="11.25">
      <c r="A36" s="7" t="s">
        <v>29</v>
      </c>
      <c r="B36" s="7"/>
      <c r="C36" s="8">
        <v>582</v>
      </c>
      <c r="D36" s="8">
        <v>413</v>
      </c>
      <c r="E36" s="8">
        <v>307</v>
      </c>
      <c r="F36" s="8">
        <v>156</v>
      </c>
      <c r="G36" s="8">
        <v>1495</v>
      </c>
      <c r="H36" s="8">
        <v>2908</v>
      </c>
    </row>
    <row r="37" spans="1:8" ht="11.25">
      <c r="A37" s="7" t="s">
        <v>30</v>
      </c>
      <c r="B37" s="7"/>
      <c r="C37" s="8">
        <f aca="true" t="shared" si="7" ref="C37:H37">C35-C36</f>
        <v>-715</v>
      </c>
      <c r="D37" s="8">
        <f t="shared" si="7"/>
        <v>1362</v>
      </c>
      <c r="E37" s="8">
        <f t="shared" si="7"/>
        <v>2062</v>
      </c>
      <c r="F37" s="8">
        <f t="shared" si="7"/>
        <v>904</v>
      </c>
      <c r="G37" s="8">
        <f t="shared" si="7"/>
        <v>2611</v>
      </c>
      <c r="H37" s="8">
        <f t="shared" si="7"/>
        <v>152</v>
      </c>
    </row>
    <row r="38" spans="1:8" ht="11.25">
      <c r="A38" s="3" t="s">
        <v>31</v>
      </c>
      <c r="B38" s="3"/>
      <c r="C38" s="9">
        <v>-1646</v>
      </c>
      <c r="D38" s="9">
        <v>664</v>
      </c>
      <c r="E38" s="9">
        <v>1899</v>
      </c>
      <c r="F38" s="9">
        <v>850</v>
      </c>
      <c r="G38" s="9">
        <v>2611</v>
      </c>
      <c r="H38" s="9">
        <v>151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302</v>
      </c>
      <c r="D41" s="8">
        <v>1458</v>
      </c>
      <c r="E41" s="8">
        <v>35</v>
      </c>
      <c r="F41" s="8">
        <v>1290</v>
      </c>
      <c r="G41" s="8">
        <v>3429</v>
      </c>
      <c r="H41" s="8">
        <v>0</v>
      </c>
    </row>
    <row r="42" spans="1:8" ht="11.25">
      <c r="A42" s="7" t="s">
        <v>35</v>
      </c>
      <c r="B42" s="7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1.25">
      <c r="A43" s="7" t="s">
        <v>36</v>
      </c>
      <c r="B43" s="7"/>
      <c r="C43" s="10">
        <f aca="true" t="shared" si="8" ref="C43:H43">C41/C11</f>
        <v>0.01855264774542327</v>
      </c>
      <c r="D43" s="10">
        <f t="shared" si="8"/>
        <v>0.05384246094759777</v>
      </c>
      <c r="E43" s="10">
        <f t="shared" si="8"/>
        <v>0.0010996952273227133</v>
      </c>
      <c r="F43" s="10">
        <f t="shared" si="8"/>
        <v>0.03034009125546827</v>
      </c>
      <c r="G43" s="10">
        <f t="shared" si="8"/>
        <v>0.05809993391958522</v>
      </c>
      <c r="H43" s="10">
        <f t="shared" si="8"/>
        <v>0</v>
      </c>
    </row>
    <row r="44" spans="1:8" ht="11.25">
      <c r="A44" s="11" t="s">
        <v>37</v>
      </c>
      <c r="B44" s="7"/>
      <c r="C44" s="10">
        <f aca="true" t="shared" si="9" ref="C44:H44">C41/C11</f>
        <v>0.01855264774542327</v>
      </c>
      <c r="D44" s="10">
        <f t="shared" si="9"/>
        <v>0.05384246094759777</v>
      </c>
      <c r="E44" s="10">
        <f t="shared" si="9"/>
        <v>0.0010996952273227133</v>
      </c>
      <c r="F44" s="10">
        <f t="shared" si="9"/>
        <v>0.03034009125546827</v>
      </c>
      <c r="G44" s="10">
        <f t="shared" si="9"/>
        <v>0.05809993391958522</v>
      </c>
      <c r="H44" s="10">
        <f t="shared" si="9"/>
        <v>0</v>
      </c>
    </row>
    <row r="45" spans="1:8" ht="11.25">
      <c r="A45" s="7" t="s">
        <v>38</v>
      </c>
      <c r="B45" s="7"/>
      <c r="C45" s="10">
        <f>1051/C11</f>
        <v>0.06456567145841012</v>
      </c>
      <c r="D45" s="10">
        <f>878/D11</f>
        <v>0.032423649322353115</v>
      </c>
      <c r="E45" s="10">
        <f>463/E11</f>
        <v>0.01454739686429761</v>
      </c>
      <c r="F45" s="10">
        <f>518/F11</f>
        <v>0.012183075403358577</v>
      </c>
      <c r="G45" s="10">
        <f>560/G11</f>
        <v>0.009488469814805401</v>
      </c>
      <c r="H45" s="10">
        <f>796/H11</f>
        <v>0.013842033874726116</v>
      </c>
    </row>
    <row r="46" spans="1:8" ht="11.25">
      <c r="A46" s="3" t="s">
        <v>39</v>
      </c>
      <c r="B46" s="3"/>
      <c r="C46" s="10">
        <f>1051/C41</f>
        <v>3.480132450331126</v>
      </c>
      <c r="D46" s="10">
        <f>878/D41</f>
        <v>0.6021947873799726</v>
      </c>
      <c r="E46" s="10">
        <f>463/E41</f>
        <v>13.228571428571428</v>
      </c>
      <c r="F46" s="10">
        <f>518/F41</f>
        <v>0.4015503875968992</v>
      </c>
      <c r="G46" s="10">
        <f>560/G41</f>
        <v>0.16331291921843102</v>
      </c>
      <c r="H46" s="12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0" ref="C48:H48">+C29/C25</f>
        <v>0.034240256861828945</v>
      </c>
      <c r="D48" s="10">
        <f t="shared" si="10"/>
        <v>0.029389280079745474</v>
      </c>
      <c r="E48" s="10">
        <f t="shared" si="10"/>
        <v>0.02969287363548251</v>
      </c>
      <c r="F48" s="10">
        <f t="shared" si="10"/>
        <v>0.030540960368053375</v>
      </c>
      <c r="G48" s="10">
        <f t="shared" si="10"/>
        <v>0.034675352390478184</v>
      </c>
      <c r="H48" s="10">
        <f t="shared" si="10"/>
        <v>0.04360513077657183</v>
      </c>
    </row>
    <row r="49" spans="1:8" ht="11.25">
      <c r="A49" s="3" t="s">
        <v>42</v>
      </c>
      <c r="B49" s="3"/>
      <c r="C49" s="13">
        <f aca="true" t="shared" si="11" ref="C49:H49">+C29/C26</f>
        <v>0.05782030791640535</v>
      </c>
      <c r="D49" s="13">
        <f t="shared" si="11"/>
        <v>0.042817287428615104</v>
      </c>
      <c r="E49" s="13">
        <f t="shared" si="11"/>
        <v>0.036413993767697585</v>
      </c>
      <c r="F49" s="13">
        <f t="shared" si="11"/>
        <v>0.04011584313791075</v>
      </c>
      <c r="G49" s="13">
        <f t="shared" si="11"/>
        <v>0.04968203620370685</v>
      </c>
      <c r="H49" s="13">
        <f t="shared" si="11"/>
        <v>0.07914763185400055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2" ref="C51:H51">C10/C15</f>
        <v>0.007680043116031528</v>
      </c>
      <c r="D51" s="10">
        <f t="shared" si="12"/>
        <v>0.5453137755773839</v>
      </c>
      <c r="E51" s="10">
        <f t="shared" si="12"/>
        <v>0.004984768762115757</v>
      </c>
      <c r="F51" s="10">
        <f t="shared" si="12"/>
        <v>0.02124909311997384</v>
      </c>
      <c r="G51" s="10">
        <f t="shared" si="12"/>
        <v>0.14080891829194947</v>
      </c>
      <c r="H51" s="10">
        <f t="shared" si="12"/>
        <v>0.7639326734852714</v>
      </c>
    </row>
    <row r="52" spans="1:8" ht="11.25">
      <c r="A52" s="7" t="s">
        <v>45</v>
      </c>
      <c r="B52" s="7"/>
      <c r="C52" s="10">
        <f aca="true" t="shared" si="13" ref="C52:H52">C10/C9</f>
        <v>0.006913094452005875</v>
      </c>
      <c r="D52" s="10">
        <f t="shared" si="13"/>
        <v>0.5081970431743663</v>
      </c>
      <c r="E52" s="10">
        <f t="shared" si="13"/>
        <v>0.004533159220221994</v>
      </c>
      <c r="F52" s="10">
        <f t="shared" si="13"/>
        <v>0.017612582472960728</v>
      </c>
      <c r="G52" s="10">
        <f t="shared" si="13"/>
        <v>0.09750456436781182</v>
      </c>
      <c r="H52" s="10">
        <f t="shared" si="13"/>
        <v>0.4983946412818251</v>
      </c>
    </row>
    <row r="53" spans="1:8" ht="11.25">
      <c r="A53" s="3" t="s">
        <v>46</v>
      </c>
      <c r="B53" s="3"/>
      <c r="C53" s="13">
        <f aca="true" t="shared" si="14" ref="C53:H53">(C10+C14)/C15</f>
        <v>0.01206650049029515</v>
      </c>
      <c r="D53" s="13">
        <f t="shared" si="14"/>
        <v>0.8623548310641772</v>
      </c>
      <c r="E53" s="13">
        <f t="shared" si="14"/>
        <v>0.7829215257905372</v>
      </c>
      <c r="F53" s="13">
        <f t="shared" si="14"/>
        <v>0.9133635796981494</v>
      </c>
      <c r="G53" s="13">
        <f t="shared" si="14"/>
        <v>1.060464816564997</v>
      </c>
      <c r="H53" s="13">
        <f t="shared" si="14"/>
        <v>1.046886423848869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4">
        <f>C38/C26</f>
        <v>-0.013320115721539986</v>
      </c>
      <c r="D55" s="14">
        <f>(D38/0.75)/D26</f>
        <v>0.004833608135603091</v>
      </c>
      <c r="E55" s="14">
        <f>(E38/0.5)/E26</f>
        <v>0.017430253743741308</v>
      </c>
      <c r="F55" s="10">
        <f>((F38)/0.25)/F26</f>
        <v>0.01895412266104733</v>
      </c>
      <c r="G55" s="10">
        <f>G38/G26</f>
        <v>0.016128285033927464</v>
      </c>
      <c r="H55" s="10">
        <f>H38/H26</f>
        <v>0.0017733203368134256</v>
      </c>
    </row>
    <row r="56" spans="1:8" ht="11.25">
      <c r="A56" s="7" t="s">
        <v>49</v>
      </c>
      <c r="B56" s="7"/>
      <c r="C56" s="14">
        <f>C38/C25</f>
        <v>-0.007887958403718746</v>
      </c>
      <c r="D56" s="14">
        <f>(D38/0.75)/D25</f>
        <v>0.0033177315010861326</v>
      </c>
      <c r="E56" s="14">
        <f>(E38/0.5)/E25</f>
        <v>0.014213061196995723</v>
      </c>
      <c r="F56" s="10">
        <f>((F38)/0.25)/F25</f>
        <v>0.01443013691653439</v>
      </c>
      <c r="G56" s="10">
        <f>G38/G25</f>
        <v>0.011256663569754884</v>
      </c>
      <c r="H56" s="10">
        <f>H38/H25</f>
        <v>0.0009769826763502255</v>
      </c>
    </row>
    <row r="57" spans="1:8" ht="11.25">
      <c r="A57" s="7" t="s">
        <v>50</v>
      </c>
      <c r="B57" s="7"/>
      <c r="C57" s="14">
        <f>+C38/C29</f>
        <v>-0.23037088873338</v>
      </c>
      <c r="D57" s="14">
        <f>(D38/0.75)/D29</f>
        <v>0.11288917224524493</v>
      </c>
      <c r="E57" s="14">
        <f>(E38/0.5)/E29</f>
        <v>0.4786691032831306</v>
      </c>
      <c r="F57" s="10">
        <f>((F38)/0.25)/F29</f>
        <v>0.4724847137298499</v>
      </c>
      <c r="G57" s="10">
        <f>G38/G29</f>
        <v>0.32463011314186246</v>
      </c>
      <c r="H57" s="10">
        <f>H38/H29</f>
        <v>0.022405222939387195</v>
      </c>
    </row>
    <row r="58" spans="1:8" ht="11.25">
      <c r="A58" s="7" t="s">
        <v>51</v>
      </c>
      <c r="B58" s="7"/>
      <c r="C58" s="14">
        <f>C31/C25</f>
        <v>0.0775473529094634</v>
      </c>
      <c r="D58" s="14">
        <f>(D31/0.75)/D25</f>
        <v>0.0729900930238949</v>
      </c>
      <c r="E58" s="14">
        <f>(E31/0.5)/E25</f>
        <v>0.08298062637761536</v>
      </c>
      <c r="F58" s="10">
        <f>((F31)/0.25)/F25</f>
        <v>0.10023003335908122</v>
      </c>
      <c r="G58" s="10">
        <f>G31/G25</f>
        <v>0.10574624436574025</v>
      </c>
      <c r="H58" s="10">
        <f>H31/H25</f>
        <v>0.07593937531339469</v>
      </c>
    </row>
    <row r="59" spans="1:8" ht="11.25">
      <c r="A59" s="7" t="s">
        <v>52</v>
      </c>
      <c r="B59" s="7"/>
      <c r="C59" s="14">
        <f>C32/C25</f>
        <v>0.08185553918221136</v>
      </c>
      <c r="D59" s="14">
        <f>(D32/0.75)/D25</f>
        <v>0.06779864267806887</v>
      </c>
      <c r="E59" s="14">
        <f>(E32/0.5)/E25</f>
        <v>0.0702420112342311</v>
      </c>
      <c r="F59" s="10">
        <f>((F32)/0.25)/F25</f>
        <v>0.08355898106256737</v>
      </c>
      <c r="G59" s="10">
        <f>G32/G25</f>
        <v>0.09067843924268651</v>
      </c>
      <c r="H59" s="10">
        <f>H32/H25</f>
        <v>0.059692994516603856</v>
      </c>
    </row>
    <row r="60" spans="1:8" ht="11.25">
      <c r="A60" s="7" t="s">
        <v>53</v>
      </c>
      <c r="B60" s="7"/>
      <c r="C60" s="14">
        <f>C33/C25</f>
        <v>-0.004308186272747966</v>
      </c>
      <c r="D60" s="14">
        <f>(D33/0.75)/D25</f>
        <v>0.005191450345826041</v>
      </c>
      <c r="E60" s="14">
        <f>(E33/0.5)/E25</f>
        <v>0.012738615143384265</v>
      </c>
      <c r="F60" s="10">
        <f>((F33)/0.25)/F25</f>
        <v>0.01667105229651385</v>
      </c>
      <c r="G60" s="10">
        <f>G33/G25</f>
        <v>0.015067805123053743</v>
      </c>
      <c r="H60" s="10">
        <f>H33/H25</f>
        <v>0.01624638079679084</v>
      </c>
    </row>
    <row r="61" spans="1:8" ht="11.25">
      <c r="A61" s="7" t="s">
        <v>54</v>
      </c>
      <c r="B61" s="7"/>
      <c r="C61" s="14">
        <f>C36/C35</f>
        <v>-4.37593984962406</v>
      </c>
      <c r="D61" s="14">
        <f>(D36/0.75)/(D35/0.75)</f>
        <v>0.23267605633802818</v>
      </c>
      <c r="E61" s="14">
        <f>(E36/0.5)/(E35/0.5)</f>
        <v>0.12959054453355848</v>
      </c>
      <c r="F61" s="10">
        <f>(F36/0.25)/(F35/0.25)</f>
        <v>0.1471698113207547</v>
      </c>
      <c r="G61" s="10">
        <f>G36/G35</f>
        <v>0.3641013151485631</v>
      </c>
      <c r="H61" s="10">
        <f>H36/H35</f>
        <v>0.9503267973856209</v>
      </c>
    </row>
    <row r="62" spans="1:8" ht="11.25">
      <c r="A62" s="3" t="s">
        <v>55</v>
      </c>
      <c r="B62" s="3"/>
      <c r="C62" s="15">
        <f>C34/C25</f>
        <v>0.003670823898692928</v>
      </c>
      <c r="D62" s="15">
        <f>(D34/0.75)/D25</f>
        <v>0.003677485519276195</v>
      </c>
      <c r="E62" s="15">
        <f>(E34/0.5)/E25</f>
        <v>0.004992159988623564</v>
      </c>
      <c r="F62" s="13">
        <f>(F34/0.25)/F25</f>
        <v>0.0013241772699878617</v>
      </c>
      <c r="G62" s="13">
        <f>G34/G25</f>
        <v>0.0026341713677212695</v>
      </c>
      <c r="H62" s="13">
        <f>H34/H25</f>
        <v>0.0035520760881872443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6</v>
      </c>
      <c r="D64" s="8">
        <v>6</v>
      </c>
      <c r="E64" s="8">
        <v>6</v>
      </c>
      <c r="F64" s="8">
        <v>6</v>
      </c>
      <c r="G64" s="8">
        <v>7</v>
      </c>
      <c r="H64" s="8">
        <v>7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5" ref="C66:H66">C11/C64</f>
        <v>2713</v>
      </c>
      <c r="D66" s="8">
        <f t="shared" si="15"/>
        <v>4513.166666666667</v>
      </c>
      <c r="E66" s="8">
        <f t="shared" si="15"/>
        <v>5304.5</v>
      </c>
      <c r="F66" s="8">
        <f t="shared" si="15"/>
        <v>7086.333333333333</v>
      </c>
      <c r="G66" s="8">
        <f t="shared" si="15"/>
        <v>8431.285714285714</v>
      </c>
      <c r="H66" s="8">
        <f t="shared" si="15"/>
        <v>8215.142857142857</v>
      </c>
    </row>
    <row r="67" spans="1:8" ht="11.25">
      <c r="A67" s="7" t="s">
        <v>60</v>
      </c>
      <c r="B67" s="7"/>
      <c r="C67" s="8">
        <f aca="true" t="shared" si="16" ref="C67:H67">+C15/C64</f>
        <v>22265.5</v>
      </c>
      <c r="D67" s="8">
        <f t="shared" si="16"/>
        <v>31644.166666666668</v>
      </c>
      <c r="E67" s="8">
        <f t="shared" si="16"/>
        <v>32499</v>
      </c>
      <c r="F67" s="8">
        <f t="shared" si="16"/>
        <v>32621</v>
      </c>
      <c r="G67" s="8">
        <f t="shared" si="16"/>
        <v>26603.428571428572</v>
      </c>
      <c r="H67" s="8">
        <f t="shared" si="16"/>
        <v>18171.571428571428</v>
      </c>
    </row>
    <row r="68" spans="1:8" ht="11.25">
      <c r="A68" s="3" t="s">
        <v>61</v>
      </c>
      <c r="B68" s="3"/>
      <c r="C68" s="9">
        <f aca="true" t="shared" si="17" ref="C68:H68">+C38/C64</f>
        <v>-274.3333333333333</v>
      </c>
      <c r="D68" s="9">
        <f t="shared" si="17"/>
        <v>110.66666666666667</v>
      </c>
      <c r="E68" s="9">
        <f t="shared" si="17"/>
        <v>316.5</v>
      </c>
      <c r="F68" s="9">
        <f t="shared" si="17"/>
        <v>141.66666666666666</v>
      </c>
      <c r="G68" s="9">
        <f t="shared" si="17"/>
        <v>373</v>
      </c>
      <c r="H68" s="9">
        <f t="shared" si="17"/>
        <v>21.571428571428573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+(C9/G9)-1</f>
        <v>-0.4481335361114933</v>
      </c>
      <c r="D70" s="10">
        <f>+(D9/329966)-1</f>
        <v>-0.3825666886891377</v>
      </c>
      <c r="E70" s="10">
        <f>+(E9/320018)-1</f>
        <v>-0.3299751888956246</v>
      </c>
      <c r="F70" s="10">
        <f>+(F9/235098)-1</f>
        <v>0.004423687143233934</v>
      </c>
      <c r="G70" s="10">
        <f>+(G9/H9)-1</f>
        <v>0.3793313911741174</v>
      </c>
      <c r="H70" s="10">
        <f>(H9/114143)-1</f>
        <v>0.708138037374171</v>
      </c>
    </row>
    <row r="71" spans="1:8" ht="11.25">
      <c r="A71" s="7" t="s">
        <v>64</v>
      </c>
      <c r="B71" s="7"/>
      <c r="C71" s="10">
        <f aca="true" t="shared" si="18" ref="C71:H71">SUM(C72:C73)</f>
        <v>-0.7241905149189244</v>
      </c>
      <c r="D71" s="10">
        <f t="shared" si="18"/>
        <v>-0.6505304183981622</v>
      </c>
      <c r="E71" s="10">
        <f t="shared" si="18"/>
        <v>-0.6744873433904373</v>
      </c>
      <c r="F71" s="10">
        <f t="shared" si="18"/>
        <v>-0.5540241459244575</v>
      </c>
      <c r="G71" s="10">
        <f t="shared" si="18"/>
        <v>0.02631029805585494</v>
      </c>
      <c r="H71" s="10">
        <f t="shared" si="18"/>
        <v>-0.008927340410864515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-0.7241905149189244</v>
      </c>
      <c r="D73" s="10">
        <f>+(D13/77486)-1</f>
        <v>-0.6505304183981622</v>
      </c>
      <c r="E73" s="10">
        <f>+(E13/97775)-1</f>
        <v>-0.6744873433904373</v>
      </c>
      <c r="F73" s="10">
        <f>+(F13/95337)-1</f>
        <v>-0.5540241459244575</v>
      </c>
      <c r="G73" s="10">
        <f>+(G13/H13)-1</f>
        <v>0.02631029805585494</v>
      </c>
      <c r="H73" s="10">
        <f>+(H13/58024)-1</f>
        <v>-0.008927340410864515</v>
      </c>
    </row>
    <row r="74" spans="1:8" ht="11.25">
      <c r="A74" s="7" t="s">
        <v>65</v>
      </c>
      <c r="B74" s="7"/>
      <c r="C74" s="10">
        <f aca="true" t="shared" si="19" ref="C74:H74">SUM(C75:C76)</f>
        <v>-0.2826220036085574</v>
      </c>
      <c r="D74" s="10">
        <f t="shared" si="19"/>
        <v>0.022472696723606855</v>
      </c>
      <c r="E74" s="10">
        <f t="shared" si="19"/>
        <v>0.1382589356075863</v>
      </c>
      <c r="F74" s="10">
        <f t="shared" si="19"/>
        <v>0.4857442157041356</v>
      </c>
      <c r="G74" s="10">
        <f t="shared" si="19"/>
        <v>0.4640136476914489</v>
      </c>
      <c r="H74" s="10">
        <f t="shared" si="19"/>
        <v>0.3308188865988011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-0.2826220036085574</v>
      </c>
      <c r="D76" s="10">
        <f>+(D20/185692)-1</f>
        <v>0.022472696723606855</v>
      </c>
      <c r="E76" s="10">
        <f>+(E20/171309)-1</f>
        <v>0.1382589356075863</v>
      </c>
      <c r="F76" s="10">
        <f>+(F20/131736)-1</f>
        <v>0.4857442157041356</v>
      </c>
      <c r="G76" s="10">
        <f>+(G20/H20)-1</f>
        <v>0.4640136476914489</v>
      </c>
      <c r="H76" s="10">
        <f>+(H20/95581)-1</f>
        <v>0.3308188865988011</v>
      </c>
    </row>
    <row r="77" spans="1:8" ht="11.25">
      <c r="A77" s="11" t="s">
        <v>66</v>
      </c>
      <c r="B77" s="11"/>
      <c r="C77" s="16">
        <f>+(C23/G23)-1</f>
        <v>-0.4586344515154783</v>
      </c>
      <c r="D77" s="16">
        <f>+(D23/8356)-1</f>
        <v>-0.12290569650550498</v>
      </c>
      <c r="E77" s="16">
        <f>+(E23/7305)-1</f>
        <v>0.17234770704996571</v>
      </c>
      <c r="F77" s="16">
        <f>+(F23/6878)-1</f>
        <v>0.09246874091305601</v>
      </c>
      <c r="G77" s="16">
        <f>+(G23/H23)-1</f>
        <v>0.3603815113719735</v>
      </c>
      <c r="H77" s="16">
        <f>(H23/6664)-1</f>
        <v>0.022659063625450226</v>
      </c>
    </row>
    <row r="78" spans="1:8" ht="11.25">
      <c r="A78" s="3" t="s">
        <v>67</v>
      </c>
      <c r="B78" s="3"/>
      <c r="C78" s="13">
        <f>+(C38/G38)-1</f>
        <v>-1.6304098046725393</v>
      </c>
      <c r="D78" s="13">
        <f>+(D38/1695)-1</f>
        <v>-0.608259587020649</v>
      </c>
      <c r="E78" s="13">
        <f>+(E38/644)-1</f>
        <v>1.9487577639751552</v>
      </c>
      <c r="F78" s="13">
        <f>+(F38/215)-1</f>
        <v>2.953488372093023</v>
      </c>
      <c r="G78" s="13">
        <f>+(G38/H38)-1</f>
        <v>16.29139072847682</v>
      </c>
      <c r="H78" s="13">
        <f>+(H38/653)-1</f>
        <v>-0.768759571209801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2002-05-02T21:29:57Z</cp:lastPrinted>
  <dcterms:created xsi:type="dcterms:W3CDTF">2002-03-08T15:42:08Z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