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Pacífico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<sst xmlns="http://schemas.openxmlformats.org/spreadsheetml/2006/main" count="80" uniqueCount="68">
  <si>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19-14    BANCO DEL PACIFICO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</si>
  <si>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</si>
  <si>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</si>
  <si>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</si>
  <si>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</si>
  <si>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</si>
  <si>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</si>
  <si>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</si>
  <si>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</si>
  <si>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</si>
  <si>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</si>
  <si>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</si>
  <si>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</si>
  <si>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</si>
  <si>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</si>
  <si>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</si>
  <si>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</si>
  <si>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</si>
  <si>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</si>
  <si>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</si>
  <si>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</si>
  <si>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</si>
  <si>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</si>
  <si>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</si>
  <si>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</si>
  <si>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</si>
  <si>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</si>
  <si>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</si>
  <si>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</si>
  <si>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</si>
  <si>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</si>
  <si>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</si>
  <si>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</si>
  <si>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</si>
  <si>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</si>
  <si>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</si>
  <si>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</si>
  <si>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</si>
  <si>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</si>
  <si>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</si>
  <si>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</si>
  <si>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Total de activos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</si>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</sst>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36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</numFmts>
  <fonts count="4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10" fontId="3" fillId="0" borderId="0" xfId="19" applyNumberFormat="1" applyFont="1" applyFill="1" applyAlignment="1">
      <alignment/>
    </xf>
    <xf numFmtId="10" fontId="3" fillId="0" borderId="1" xfId="19" applyNumberFormat="1" applyFont="1" applyFill="1" applyBorder="1" applyAlignment="1">
      <alignment/>
    </xf>
    <xf numFmtId="10" fontId="3" fillId="0" borderId="0" xfId="19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11.421875" defaultRowHeight="12.75"/>
  <cols>
    <col min="1" max="1" width="3.57421875" style="1" customWidth="1"/>
    <col min="2" max="2" width="34.7109375" style="1" customWidth="1"/>
    <col min="3" max="3" width="11.140625" style="1" customWidth="1"/>
    <col min="4" max="5" width="9.140625" style="1" customWidth="1"/>
    <col min="6" max="6" width="9.28125" style="1" customWidth="1"/>
    <col min="7" max="7" width="11.00390625" style="1" customWidth="1"/>
    <col min="8" max="16384" width="11.421875" style="1" customWidth="1"/>
  </cols>
  <sheetData>
    <row r="1" spans="2:8" ht="11.25">
      <c r="B1" s="15"/>
      <c r="C1" s="15"/>
      <c r="D1" s="15"/>
      <c r="E1" s="15"/>
      <c r="F1" s="15"/>
      <c r="G1" s="15"/>
      <c r="H1" s="15"/>
    </row>
    <row r="2" spans="2:8" ht="11.25">
      <c r="B2" s="15"/>
      <c r="C2" s="15"/>
      <c r="D2" s="15"/>
      <c r="E2" s="15"/>
      <c r="F2" s="15" t="s">
        <v>0</v>
      </c>
      <c r="G2" s="15"/>
      <c r="H2" s="15"/>
    </row>
    <row r="3" spans="2:8" ht="11.25">
      <c r="B3" s="16"/>
      <c r="C3" s="16"/>
      <c r="D3" s="16"/>
      <c r="E3" s="16"/>
      <c r="F3" s="15" t="s">
        <v>1</v>
      </c>
      <c r="G3" s="16"/>
      <c r="H3" s="16"/>
    </row>
    <row r="4" spans="1:8" ht="11.25">
      <c r="A4" s="16"/>
      <c r="B4" s="16"/>
      <c r="C4" s="16"/>
      <c r="D4" s="16"/>
      <c r="E4" s="16"/>
      <c r="F4" s="16" t="s">
        <v>2</v>
      </c>
      <c r="G4" s="16"/>
      <c r="H4" s="16"/>
    </row>
    <row r="5" spans="1:8" ht="11.25">
      <c r="A5" s="16"/>
      <c r="B5" s="16"/>
      <c r="C5" s="16"/>
      <c r="D5" s="16"/>
      <c r="E5" s="16"/>
      <c r="F5" s="16"/>
      <c r="G5" s="16"/>
      <c r="H5" s="16"/>
    </row>
    <row r="6" spans="1:8" ht="11.25">
      <c r="A6" s="16"/>
      <c r="B6" s="16"/>
      <c r="C6" s="16"/>
      <c r="D6" s="16"/>
      <c r="E6" s="16"/>
      <c r="F6" s="16"/>
      <c r="G6" s="16"/>
      <c r="H6" s="16"/>
    </row>
    <row r="7" spans="1:8" ht="11.25">
      <c r="A7" s="2"/>
      <c r="B7" s="2"/>
      <c r="C7" s="2"/>
      <c r="D7" s="2"/>
      <c r="E7" s="2"/>
      <c r="F7" s="2"/>
      <c r="G7" s="2"/>
      <c r="H7" s="2"/>
    </row>
    <row r="8" spans="1:8" ht="11.25">
      <c r="A8" s="3"/>
      <c r="B8" s="3"/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</row>
    <row r="9" spans="1:8" ht="11.25">
      <c r="A9" s="4" t="s">
        <v>9</v>
      </c>
      <c r="B9" s="4"/>
      <c r="C9" s="5"/>
      <c r="D9" s="5"/>
      <c r="E9" s="5"/>
      <c r="F9" s="5"/>
      <c r="G9" s="5"/>
      <c r="H9" s="5"/>
    </row>
    <row r="10" spans="1:8" ht="11.25">
      <c r="A10" s="6" t="s">
        <v>10</v>
      </c>
      <c r="B10" s="6"/>
      <c r="C10" s="7">
        <v>83420</v>
      </c>
      <c r="D10" s="7">
        <v>85911</v>
      </c>
      <c r="E10" s="7">
        <v>87560</v>
      </c>
      <c r="F10" s="7">
        <v>97483</v>
      </c>
      <c r="G10" s="7">
        <v>104469</v>
      </c>
      <c r="H10" s="7">
        <v>268953</v>
      </c>
    </row>
    <row r="11" spans="1:8" ht="11.25">
      <c r="A11" s="6" t="s">
        <v>11</v>
      </c>
      <c r="B11" s="6"/>
      <c r="C11" s="7">
        <v>15153</v>
      </c>
      <c r="D11" s="7">
        <v>16928</v>
      </c>
      <c r="E11" s="7">
        <v>19328</v>
      </c>
      <c r="F11" s="7">
        <v>21844</v>
      </c>
      <c r="G11" s="7">
        <v>20791</v>
      </c>
      <c r="H11" s="7">
        <v>84015</v>
      </c>
    </row>
    <row r="12" spans="1:8" ht="11.25">
      <c r="A12" s="6" t="s">
        <v>12</v>
      </c>
      <c r="B12" s="6"/>
      <c r="C12" s="7">
        <f aca="true" t="shared" si="0" ref="C12:H12">C13+C14</f>
        <v>61138</v>
      </c>
      <c r="D12" s="7">
        <f t="shared" si="0"/>
        <v>60726</v>
      </c>
      <c r="E12" s="7">
        <f t="shared" si="0"/>
        <v>59856</v>
      </c>
      <c r="F12" s="7">
        <f t="shared" si="0"/>
        <v>66647</v>
      </c>
      <c r="G12" s="7">
        <f t="shared" si="0"/>
        <v>74402</v>
      </c>
      <c r="H12" s="7">
        <f t="shared" si="0"/>
        <v>167251</v>
      </c>
    </row>
    <row r="13" spans="1:8" ht="11.25">
      <c r="A13" s="6"/>
      <c r="B13" s="6" t="s">
        <v>13</v>
      </c>
      <c r="C13" s="7"/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11.25">
      <c r="A14" s="6"/>
      <c r="B14" s="6" t="s">
        <v>14</v>
      </c>
      <c r="C14" s="7">
        <v>61138</v>
      </c>
      <c r="D14" s="7">
        <v>60726</v>
      </c>
      <c r="E14" s="7">
        <v>59856</v>
      </c>
      <c r="F14" s="7">
        <v>66647</v>
      </c>
      <c r="G14" s="7">
        <v>74402</v>
      </c>
      <c r="H14" s="7">
        <v>167251</v>
      </c>
    </row>
    <row r="15" spans="1:8" ht="11.25">
      <c r="A15" s="6" t="s">
        <v>15</v>
      </c>
      <c r="B15" s="6"/>
      <c r="C15" s="7">
        <v>146</v>
      </c>
      <c r="D15" s="7">
        <v>236</v>
      </c>
      <c r="E15" s="7">
        <v>236</v>
      </c>
      <c r="F15" s="7">
        <v>313</v>
      </c>
      <c r="G15" s="7">
        <v>313</v>
      </c>
      <c r="H15" s="7">
        <v>3755</v>
      </c>
    </row>
    <row r="16" spans="1:8" ht="11.25">
      <c r="A16" s="6" t="s">
        <v>16</v>
      </c>
      <c r="B16" s="6"/>
      <c r="C16" s="7">
        <f aca="true" t="shared" si="1" ref="C16:H16">C17+C21</f>
        <v>64914</v>
      </c>
      <c r="D16" s="7">
        <f t="shared" si="1"/>
        <v>70895</v>
      </c>
      <c r="E16" s="7">
        <f t="shared" si="1"/>
        <v>72126</v>
      </c>
      <c r="F16" s="7">
        <f t="shared" si="1"/>
        <v>81736</v>
      </c>
      <c r="G16" s="7">
        <f t="shared" si="1"/>
        <v>87819</v>
      </c>
      <c r="H16" s="7">
        <f t="shared" si="1"/>
        <v>244648</v>
      </c>
    </row>
    <row r="17" spans="1:8" ht="11.25">
      <c r="A17" s="6"/>
      <c r="B17" s="6" t="s">
        <v>13</v>
      </c>
      <c r="C17" s="7">
        <f aca="true" t="shared" si="2" ref="C17:H17">SUM(C18:C20)</f>
        <v>0</v>
      </c>
      <c r="D17" s="7">
        <f t="shared" si="2"/>
        <v>0</v>
      </c>
      <c r="E17" s="7">
        <f t="shared" si="2"/>
        <v>0</v>
      </c>
      <c r="F17" s="7">
        <f t="shared" si="2"/>
        <v>0</v>
      </c>
      <c r="G17" s="7">
        <f t="shared" si="2"/>
        <v>0</v>
      </c>
      <c r="H17" s="7">
        <f t="shared" si="2"/>
        <v>100</v>
      </c>
    </row>
    <row r="18" spans="1:8" ht="11.25">
      <c r="A18" s="6"/>
      <c r="B18" s="6" t="s">
        <v>17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1:8" ht="11.25">
      <c r="A19" s="6"/>
      <c r="B19" s="6" t="s">
        <v>18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1:8" ht="11.25">
      <c r="A20" s="6"/>
      <c r="B20" s="6" t="s">
        <v>19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100</v>
      </c>
    </row>
    <row r="21" spans="1:8" ht="11.25">
      <c r="A21" s="6"/>
      <c r="B21" s="6" t="s">
        <v>14</v>
      </c>
      <c r="C21" s="7">
        <f aca="true" t="shared" si="3" ref="C21:H21">SUM(C22:C23)</f>
        <v>64914</v>
      </c>
      <c r="D21" s="7">
        <f t="shared" si="3"/>
        <v>70895</v>
      </c>
      <c r="E21" s="7">
        <f t="shared" si="3"/>
        <v>72126</v>
      </c>
      <c r="F21" s="7">
        <f t="shared" si="3"/>
        <v>81736</v>
      </c>
      <c r="G21" s="7">
        <f t="shared" si="3"/>
        <v>87819</v>
      </c>
      <c r="H21" s="7">
        <f t="shared" si="3"/>
        <v>244548</v>
      </c>
    </row>
    <row r="22" spans="1:8" ht="11.25">
      <c r="A22" s="6"/>
      <c r="B22" s="6" t="s">
        <v>18</v>
      </c>
      <c r="C22" s="7">
        <f>3184+61126</f>
        <v>64310</v>
      </c>
      <c r="D22" s="7">
        <v>70368</v>
      </c>
      <c r="E22" s="7">
        <v>71833</v>
      </c>
      <c r="F22" s="7">
        <v>75959</v>
      </c>
      <c r="G22" s="7">
        <v>87760</v>
      </c>
      <c r="H22" s="7">
        <v>236508</v>
      </c>
    </row>
    <row r="23" spans="1:8" ht="11.25">
      <c r="A23" s="6"/>
      <c r="B23" s="6" t="s">
        <v>19</v>
      </c>
      <c r="C23" s="7">
        <v>604</v>
      </c>
      <c r="D23" s="7">
        <v>527</v>
      </c>
      <c r="E23" s="7">
        <v>293</v>
      </c>
      <c r="F23" s="7">
        <v>5777</v>
      </c>
      <c r="G23" s="7">
        <v>59</v>
      </c>
      <c r="H23" s="7">
        <v>8040</v>
      </c>
    </row>
    <row r="24" spans="1:8" ht="11.25">
      <c r="A24" s="2" t="s">
        <v>20</v>
      </c>
      <c r="B24" s="2"/>
      <c r="C24" s="8">
        <v>5889</v>
      </c>
      <c r="D24" s="8">
        <v>5676</v>
      </c>
      <c r="E24" s="8">
        <v>6525</v>
      </c>
      <c r="F24" s="8">
        <v>7097</v>
      </c>
      <c r="G24" s="8">
        <v>7658</v>
      </c>
      <c r="H24" s="8">
        <v>17989</v>
      </c>
    </row>
    <row r="25" spans="1:8" ht="11.25">
      <c r="A25" s="4" t="s">
        <v>21</v>
      </c>
      <c r="B25" s="6"/>
      <c r="C25" s="7"/>
      <c r="D25" s="7"/>
      <c r="E25" s="7"/>
      <c r="F25" s="7"/>
      <c r="G25" s="7"/>
      <c r="H25" s="7"/>
    </row>
    <row r="26" spans="1:8" ht="11.25">
      <c r="A26" s="6" t="s">
        <v>10</v>
      </c>
      <c r="B26" s="6"/>
      <c r="C26" s="7">
        <f>+(C10+G10)/2</f>
        <v>93944.5</v>
      </c>
      <c r="D26" s="7">
        <f>+(133544+D10)/2</f>
        <v>109727.5</v>
      </c>
      <c r="E26" s="7">
        <f>+(161167+E10)/2</f>
        <v>124363.5</v>
      </c>
      <c r="F26" s="7">
        <f>+(235508+F10)/2</f>
        <v>166495.5</v>
      </c>
      <c r="G26" s="7">
        <f>(G10+H10)/2</f>
        <v>186711</v>
      </c>
      <c r="H26" s="7">
        <f>(H10+338798)/2</f>
        <v>303875.5</v>
      </c>
    </row>
    <row r="27" spans="1:8" ht="11.25">
      <c r="A27" s="6" t="s">
        <v>22</v>
      </c>
      <c r="B27" s="6"/>
      <c r="C27" s="7">
        <f aca="true" t="shared" si="4" ref="C27:H27">C28+C29</f>
        <v>67999.5</v>
      </c>
      <c r="D27" s="7">
        <f t="shared" si="4"/>
        <v>75476</v>
      </c>
      <c r="E27" s="7">
        <f t="shared" si="4"/>
        <v>84316</v>
      </c>
      <c r="F27" s="7">
        <f t="shared" si="4"/>
        <v>120587.5</v>
      </c>
      <c r="G27" s="7">
        <f t="shared" si="4"/>
        <v>122860.5</v>
      </c>
      <c r="H27" s="7">
        <f t="shared" si="4"/>
        <v>209285</v>
      </c>
    </row>
    <row r="28" spans="1:8" ht="11.25">
      <c r="A28" s="6"/>
      <c r="B28" s="6" t="s">
        <v>12</v>
      </c>
      <c r="C28" s="7">
        <f>+(C12+G12)/2</f>
        <v>67770</v>
      </c>
      <c r="D28" s="7">
        <f>+(89573+D12)/2</f>
        <v>75149.5</v>
      </c>
      <c r="E28" s="7">
        <f>+(108123+E12)/2</f>
        <v>83989.5</v>
      </c>
      <c r="F28" s="7">
        <f>+(170510+F12)/2</f>
        <v>118578.5</v>
      </c>
      <c r="G28" s="7">
        <f>(G12+H12)/2</f>
        <v>120826.5</v>
      </c>
      <c r="H28" s="7">
        <f>(H12+202469)/2</f>
        <v>184860</v>
      </c>
    </row>
    <row r="29" spans="1:8" ht="11.25">
      <c r="A29" s="6"/>
      <c r="B29" s="6" t="s">
        <v>15</v>
      </c>
      <c r="C29" s="7">
        <f>+(C15+G15)/2</f>
        <v>229.5</v>
      </c>
      <c r="D29" s="7">
        <f>+(417+D15)/2</f>
        <v>326.5</v>
      </c>
      <c r="E29" s="7">
        <f>+(417+E15)/2</f>
        <v>326.5</v>
      </c>
      <c r="F29" s="7">
        <f>+(3705+F15)/2</f>
        <v>2009</v>
      </c>
      <c r="G29" s="7">
        <f>(G15+H15)/2</f>
        <v>2034</v>
      </c>
      <c r="H29" s="7">
        <f>(H15+45095)/2</f>
        <v>24425</v>
      </c>
    </row>
    <row r="30" spans="1:8" ht="11.25">
      <c r="A30" s="2" t="s">
        <v>20</v>
      </c>
      <c r="B30" s="2"/>
      <c r="C30" s="8">
        <f>+(C24+G24)/2</f>
        <v>6773.5</v>
      </c>
      <c r="D30" s="8">
        <f>+(7934+D24)/2</f>
        <v>6805</v>
      </c>
      <c r="E30" s="8">
        <f>+(13906+E24)/2</f>
        <v>10215.5</v>
      </c>
      <c r="F30" s="8">
        <f>+(14870+F24)/2</f>
        <v>10983.5</v>
      </c>
      <c r="G30" s="8">
        <f>(G24+H24)/2</f>
        <v>12823.5</v>
      </c>
      <c r="H30" s="8">
        <f>(H24+18439)/2</f>
        <v>18214</v>
      </c>
    </row>
    <row r="31" spans="1:8" ht="11.25">
      <c r="A31" s="4" t="s">
        <v>23</v>
      </c>
      <c r="B31" s="6"/>
      <c r="C31" s="6"/>
      <c r="D31" s="6"/>
      <c r="E31" s="6"/>
      <c r="F31" s="6"/>
      <c r="G31" s="6"/>
      <c r="H31" s="6"/>
    </row>
    <row r="32" spans="1:8" ht="11.25">
      <c r="A32" s="6" t="s">
        <v>24</v>
      </c>
      <c r="B32" s="6"/>
      <c r="C32" s="7">
        <v>8921</v>
      </c>
      <c r="D32" s="7">
        <v>7007</v>
      </c>
      <c r="E32" s="7">
        <v>4886</v>
      </c>
      <c r="F32" s="7">
        <v>2591</v>
      </c>
      <c r="G32" s="7">
        <v>20029</v>
      </c>
      <c r="H32" s="7">
        <v>29346</v>
      </c>
    </row>
    <row r="33" spans="1:8" ht="11.25">
      <c r="A33" s="6" t="s">
        <v>25</v>
      </c>
      <c r="B33" s="6"/>
      <c r="C33" s="7">
        <v>7547</v>
      </c>
      <c r="D33" s="7">
        <v>5883</v>
      </c>
      <c r="E33" s="7">
        <v>4114</v>
      </c>
      <c r="F33" s="7">
        <v>2188</v>
      </c>
      <c r="G33" s="7">
        <v>17194</v>
      </c>
      <c r="H33" s="7">
        <v>20061</v>
      </c>
    </row>
    <row r="34" spans="1:8" ht="11.25">
      <c r="A34" s="6" t="s">
        <v>26</v>
      </c>
      <c r="B34" s="6"/>
      <c r="C34" s="7">
        <f aca="true" t="shared" si="5" ref="C34:H34">C32-C33</f>
        <v>1374</v>
      </c>
      <c r="D34" s="7">
        <f t="shared" si="5"/>
        <v>1124</v>
      </c>
      <c r="E34" s="7">
        <f t="shared" si="5"/>
        <v>772</v>
      </c>
      <c r="F34" s="7">
        <f t="shared" si="5"/>
        <v>403</v>
      </c>
      <c r="G34" s="7">
        <f t="shared" si="5"/>
        <v>2835</v>
      </c>
      <c r="H34" s="7">
        <f t="shared" si="5"/>
        <v>9285</v>
      </c>
    </row>
    <row r="35" spans="1:8" ht="11.25">
      <c r="A35" s="6" t="s">
        <v>27</v>
      </c>
      <c r="B35" s="6"/>
      <c r="C35" s="7">
        <v>180</v>
      </c>
      <c r="D35" s="7">
        <v>133</v>
      </c>
      <c r="E35" s="7">
        <v>93</v>
      </c>
      <c r="F35" s="7">
        <v>40</v>
      </c>
      <c r="G35" s="7">
        <v>2130</v>
      </c>
      <c r="H35" s="7">
        <v>6337</v>
      </c>
    </row>
    <row r="36" spans="1:8" ht="11.25">
      <c r="A36" s="6" t="s">
        <v>28</v>
      </c>
      <c r="B36" s="6"/>
      <c r="C36" s="7">
        <f aca="true" t="shared" si="6" ref="C36:H36">C34+C35</f>
        <v>1554</v>
      </c>
      <c r="D36" s="7">
        <f t="shared" si="6"/>
        <v>1257</v>
      </c>
      <c r="E36" s="7">
        <f t="shared" si="6"/>
        <v>865</v>
      </c>
      <c r="F36" s="7">
        <f t="shared" si="6"/>
        <v>443</v>
      </c>
      <c r="G36" s="7">
        <f t="shared" si="6"/>
        <v>4965</v>
      </c>
      <c r="H36" s="7">
        <f t="shared" si="6"/>
        <v>15622</v>
      </c>
    </row>
    <row r="37" spans="1:8" ht="11.25">
      <c r="A37" s="6" t="s">
        <v>29</v>
      </c>
      <c r="B37" s="6"/>
      <c r="C37" s="7">
        <v>3571</v>
      </c>
      <c r="D37" s="7">
        <v>2944</v>
      </c>
      <c r="E37" s="7">
        <v>1998</v>
      </c>
      <c r="F37" s="7">
        <v>1003</v>
      </c>
      <c r="G37" s="7">
        <v>5435</v>
      </c>
      <c r="H37" s="7">
        <v>5507</v>
      </c>
    </row>
    <row r="38" spans="1:8" ht="11.25">
      <c r="A38" s="6" t="s">
        <v>30</v>
      </c>
      <c r="B38" s="6"/>
      <c r="C38" s="7">
        <f aca="true" t="shared" si="7" ref="C38:H38">C36-C37</f>
        <v>-2017</v>
      </c>
      <c r="D38" s="7">
        <f t="shared" si="7"/>
        <v>-1687</v>
      </c>
      <c r="E38" s="7">
        <f t="shared" si="7"/>
        <v>-1133</v>
      </c>
      <c r="F38" s="7">
        <f t="shared" si="7"/>
        <v>-560</v>
      </c>
      <c r="G38" s="7">
        <f t="shared" si="7"/>
        <v>-470</v>
      </c>
      <c r="H38" s="7">
        <f t="shared" si="7"/>
        <v>10115</v>
      </c>
    </row>
    <row r="39" spans="1:8" ht="11.25">
      <c r="A39" s="2" t="s">
        <v>31</v>
      </c>
      <c r="B39" s="2"/>
      <c r="C39" s="8">
        <v>-5837</v>
      </c>
      <c r="D39" s="8">
        <v>-1980</v>
      </c>
      <c r="E39" s="8">
        <v>-1133</v>
      </c>
      <c r="F39" s="8">
        <v>-560</v>
      </c>
      <c r="G39" s="8">
        <v>-1365</v>
      </c>
      <c r="H39" s="8">
        <v>164</v>
      </c>
    </row>
    <row r="40" spans="1:8" ht="11.25">
      <c r="A40" s="4" t="s">
        <v>32</v>
      </c>
      <c r="B40" s="6"/>
      <c r="C40" s="6"/>
      <c r="D40" s="6"/>
      <c r="E40" s="6"/>
      <c r="F40" s="6"/>
      <c r="G40" s="6"/>
      <c r="H40" s="6"/>
    </row>
    <row r="41" spans="1:8" ht="11.25">
      <c r="A41" s="6" t="s">
        <v>33</v>
      </c>
      <c r="B41" s="6"/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</row>
    <row r="42" spans="1:8" ht="11.25">
      <c r="A42" s="6" t="s">
        <v>34</v>
      </c>
      <c r="B42" s="6"/>
      <c r="C42" s="7">
        <v>10826</v>
      </c>
      <c r="D42" s="7">
        <v>10937</v>
      </c>
      <c r="E42" s="7">
        <v>7754</v>
      </c>
      <c r="F42" s="7">
        <v>6290</v>
      </c>
      <c r="G42" s="7">
        <v>6290</v>
      </c>
      <c r="H42" s="7">
        <v>4153</v>
      </c>
    </row>
    <row r="43" spans="1:9" ht="11.25">
      <c r="A43" s="6" t="s">
        <v>35</v>
      </c>
      <c r="B43" s="6"/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1">
        <v>0</v>
      </c>
    </row>
    <row r="44" spans="1:8" ht="11.25">
      <c r="A44" s="6" t="s">
        <v>36</v>
      </c>
      <c r="B44" s="6"/>
      <c r="C44" s="9">
        <f aca="true" t="shared" si="8" ref="C44:H44">C42/C12</f>
        <v>0.17707481435441133</v>
      </c>
      <c r="D44" s="9">
        <f t="shared" si="8"/>
        <v>0.18010407403747983</v>
      </c>
      <c r="E44" s="9">
        <f t="shared" si="8"/>
        <v>0.12954423950815291</v>
      </c>
      <c r="F44" s="9">
        <f t="shared" si="8"/>
        <v>0.09437784146323165</v>
      </c>
      <c r="G44" s="9">
        <f t="shared" si="8"/>
        <v>0.08454073815220021</v>
      </c>
      <c r="H44" s="9">
        <f t="shared" si="8"/>
        <v>0.024830942714841764</v>
      </c>
    </row>
    <row r="45" spans="1:8" ht="11.25">
      <c r="A45" s="10" t="s">
        <v>37</v>
      </c>
      <c r="B45" s="6"/>
      <c r="C45" s="9">
        <f aca="true" t="shared" si="9" ref="C45:H45">C42/C12</f>
        <v>0.17707481435441133</v>
      </c>
      <c r="D45" s="9">
        <f t="shared" si="9"/>
        <v>0.18010407403747983</v>
      </c>
      <c r="E45" s="9">
        <f t="shared" si="9"/>
        <v>0.12954423950815291</v>
      </c>
      <c r="F45" s="9">
        <f t="shared" si="9"/>
        <v>0.09437784146323165</v>
      </c>
      <c r="G45" s="9">
        <f t="shared" si="9"/>
        <v>0.08454073815220021</v>
      </c>
      <c r="H45" s="9">
        <f t="shared" si="9"/>
        <v>0.024830942714841764</v>
      </c>
    </row>
    <row r="46" spans="1:8" ht="11.25">
      <c r="A46" s="6" t="s">
        <v>38</v>
      </c>
      <c r="B46" s="6"/>
      <c r="C46" s="9">
        <f>10952/C12</f>
        <v>0.17913572573522196</v>
      </c>
      <c r="D46" s="9">
        <f>6922/D12</f>
        <v>0.11398741889800086</v>
      </c>
      <c r="E46" s="9">
        <f>6628/E12</f>
        <v>0.1107324244854317</v>
      </c>
      <c r="F46" s="9">
        <f>6628/F12</f>
        <v>0.0994493375545786</v>
      </c>
      <c r="G46" s="9">
        <f>6628/G12</f>
        <v>0.08908362678422622</v>
      </c>
      <c r="H46" s="9">
        <f>1569/H12</f>
        <v>0.009381109828939737</v>
      </c>
    </row>
    <row r="47" spans="1:8" ht="11.25">
      <c r="A47" s="2" t="s">
        <v>39</v>
      </c>
      <c r="B47" s="2"/>
      <c r="C47" s="11">
        <f>10952/C42</f>
        <v>1.0116386476999815</v>
      </c>
      <c r="D47" s="11">
        <f>6922/D42</f>
        <v>0.6328975038858919</v>
      </c>
      <c r="E47" s="11">
        <f>6628/E42</f>
        <v>0.8547846272891411</v>
      </c>
      <c r="F47" s="11">
        <f>6628/F42</f>
        <v>1.0537360890302068</v>
      </c>
      <c r="G47" s="11">
        <f>6628/G42</f>
        <v>1.0537360890302068</v>
      </c>
      <c r="H47" s="11">
        <f>1569/H42</f>
        <v>0.37779918131471224</v>
      </c>
    </row>
    <row r="48" spans="1:8" ht="11.25">
      <c r="A48" s="4" t="s">
        <v>40</v>
      </c>
      <c r="B48" s="6"/>
      <c r="C48" s="6"/>
      <c r="D48" s="6"/>
      <c r="E48" s="6"/>
      <c r="F48" s="6"/>
      <c r="G48" s="6"/>
      <c r="H48" s="6"/>
    </row>
    <row r="49" spans="1:8" ht="11.25">
      <c r="A49" s="6" t="s">
        <v>41</v>
      </c>
      <c r="B49" s="6"/>
      <c r="C49" s="9">
        <f aca="true" t="shared" si="10" ref="C49:H49">+C30/C26</f>
        <v>0.07210108095737378</v>
      </c>
      <c r="D49" s="9">
        <f t="shared" si="10"/>
        <v>0.06201727005536443</v>
      </c>
      <c r="E49" s="9">
        <f t="shared" si="10"/>
        <v>0.08214226843084989</v>
      </c>
      <c r="F49" s="9">
        <f t="shared" si="10"/>
        <v>0.06596874990615362</v>
      </c>
      <c r="G49" s="9">
        <f t="shared" si="10"/>
        <v>0.06868100968877035</v>
      </c>
      <c r="H49" s="9">
        <f t="shared" si="10"/>
        <v>0.05993902107935651</v>
      </c>
    </row>
    <row r="50" spans="1:8" ht="11.25">
      <c r="A50" s="2" t="s">
        <v>42</v>
      </c>
      <c r="B50" s="2"/>
      <c r="C50" s="11">
        <f aca="true" t="shared" si="11" ref="C50:H50">+C30/C27</f>
        <v>0.09961102655166582</v>
      </c>
      <c r="D50" s="11">
        <f t="shared" si="11"/>
        <v>0.09016111081668345</v>
      </c>
      <c r="E50" s="11">
        <f t="shared" si="11"/>
        <v>0.1211573129655107</v>
      </c>
      <c r="F50" s="11">
        <f t="shared" si="11"/>
        <v>0.09108323831242873</v>
      </c>
      <c r="G50" s="11">
        <f t="shared" si="11"/>
        <v>0.10437447348822446</v>
      </c>
      <c r="H50" s="11">
        <f t="shared" si="11"/>
        <v>0.08702964856535346</v>
      </c>
    </row>
    <row r="51" spans="1:8" ht="11.25">
      <c r="A51" s="4" t="s">
        <v>43</v>
      </c>
      <c r="B51" s="6"/>
      <c r="C51" s="6"/>
      <c r="D51" s="6"/>
      <c r="E51" s="6"/>
      <c r="F51" s="6"/>
      <c r="G51" s="6"/>
      <c r="H51" s="6"/>
    </row>
    <row r="52" spans="1:8" ht="11.25">
      <c r="A52" s="6" t="s">
        <v>44</v>
      </c>
      <c r="B52" s="6"/>
      <c r="C52" s="9">
        <f aca="true" t="shared" si="12" ref="C52:H52">C11/C16</f>
        <v>0.2334319253165727</v>
      </c>
      <c r="D52" s="9">
        <f t="shared" si="12"/>
        <v>0.2387756541363989</v>
      </c>
      <c r="E52" s="9">
        <f t="shared" si="12"/>
        <v>0.26797548734159665</v>
      </c>
      <c r="F52" s="9">
        <f t="shared" si="12"/>
        <v>0.26725066066359987</v>
      </c>
      <c r="G52" s="9">
        <f t="shared" si="12"/>
        <v>0.23674831186873</v>
      </c>
      <c r="H52" s="9">
        <f t="shared" si="12"/>
        <v>0.34341175893528664</v>
      </c>
    </row>
    <row r="53" spans="1:8" ht="11.25">
      <c r="A53" s="6" t="s">
        <v>45</v>
      </c>
      <c r="B53" s="6"/>
      <c r="C53" s="9">
        <f aca="true" t="shared" si="13" ref="C53:H53">C11/C10</f>
        <v>0.18164708702948934</v>
      </c>
      <c r="D53" s="9">
        <f t="shared" si="13"/>
        <v>0.19704112395385923</v>
      </c>
      <c r="E53" s="9">
        <f t="shared" si="13"/>
        <v>0.22074006395614434</v>
      </c>
      <c r="F53" s="9">
        <f t="shared" si="13"/>
        <v>0.2240800960167414</v>
      </c>
      <c r="G53" s="9">
        <f t="shared" si="13"/>
        <v>0.19901597603116714</v>
      </c>
      <c r="H53" s="9">
        <f t="shared" si="13"/>
        <v>0.3123779991299595</v>
      </c>
    </row>
    <row r="54" spans="1:8" ht="11.25">
      <c r="A54" s="2" t="s">
        <v>46</v>
      </c>
      <c r="B54" s="2"/>
      <c r="C54" s="11">
        <f aca="true" t="shared" si="14" ref="C54:H54">(C11+C15)/C16</f>
        <v>0.23568105493422067</v>
      </c>
      <c r="D54" s="11">
        <f t="shared" si="14"/>
        <v>0.24210452077015304</v>
      </c>
      <c r="E54" s="11">
        <f t="shared" si="14"/>
        <v>0.2712475390289216</v>
      </c>
      <c r="F54" s="11">
        <f t="shared" si="14"/>
        <v>0.2710800626406969</v>
      </c>
      <c r="G54" s="11">
        <f t="shared" si="14"/>
        <v>0.24031246085698996</v>
      </c>
      <c r="H54" s="11">
        <f t="shared" si="14"/>
        <v>0.3587603413884438</v>
      </c>
    </row>
    <row r="55" spans="1:8" ht="11.25">
      <c r="A55" s="4" t="s">
        <v>47</v>
      </c>
      <c r="B55" s="6"/>
      <c r="C55" s="6"/>
      <c r="D55" s="6"/>
      <c r="E55" s="6"/>
      <c r="F55" s="6"/>
      <c r="G55" s="6"/>
      <c r="H55" s="6"/>
    </row>
    <row r="56" spans="1:8" ht="11.25">
      <c r="A56" s="6" t="s">
        <v>48</v>
      </c>
      <c r="B56" s="6"/>
      <c r="C56" s="12">
        <f>C39/C27</f>
        <v>-0.0858388664622534</v>
      </c>
      <c r="D56" s="12">
        <f>(D39/0.75)/D27</f>
        <v>-0.03497800625364354</v>
      </c>
      <c r="E56" s="12">
        <f>(E39/0.5)/E27</f>
        <v>-0.02687508895108876</v>
      </c>
      <c r="F56" s="9">
        <f>((F39)/0.25)/F27</f>
        <v>-0.018575723022701357</v>
      </c>
      <c r="G56" s="9">
        <f>G39/G27</f>
        <v>-0.011110161524656012</v>
      </c>
      <c r="H56" s="9">
        <f>H39/H27</f>
        <v>0.0007836204219127028</v>
      </c>
    </row>
    <row r="57" spans="1:8" ht="11.25">
      <c r="A57" s="6" t="s">
        <v>49</v>
      </c>
      <c r="B57" s="6"/>
      <c r="C57" s="12">
        <f>C39/C26</f>
        <v>-0.062132429253442194</v>
      </c>
      <c r="D57" s="12">
        <f>(D39/0.75)/D26</f>
        <v>-0.02405960219635005</v>
      </c>
      <c r="E57" s="12">
        <f>(E39/0.5)/E26</f>
        <v>-0.0182207802128438</v>
      </c>
      <c r="F57" s="9">
        <f>((F39)/0.25)/F26</f>
        <v>-0.013453817070131024</v>
      </c>
      <c r="G57" s="9">
        <f>G39/G26</f>
        <v>-0.007310763693622765</v>
      </c>
      <c r="H57" s="9">
        <f>H39/H26</f>
        <v>0.0005396947104982139</v>
      </c>
    </row>
    <row r="58" spans="1:8" ht="11.25">
      <c r="A58" s="6" t="s">
        <v>50</v>
      </c>
      <c r="B58" s="6"/>
      <c r="C58" s="12">
        <f>+C39/C30</f>
        <v>-0.8617406067764081</v>
      </c>
      <c r="D58" s="12">
        <f>(D39/0.75)/D30</f>
        <v>-0.38795003673769285</v>
      </c>
      <c r="E58" s="12">
        <f>(E39/0.5)/E30</f>
        <v>-0.22181978366208213</v>
      </c>
      <c r="F58" s="9">
        <f>((F39)/0.25)/F30</f>
        <v>-0.20394227705194154</v>
      </c>
      <c r="G58" s="9">
        <f>G39/G30</f>
        <v>-0.10644519826880337</v>
      </c>
      <c r="H58" s="9">
        <f>H39/H30</f>
        <v>0.009004062808828374</v>
      </c>
    </row>
    <row r="59" spans="1:8" ht="11.25">
      <c r="A59" s="6" t="s">
        <v>51</v>
      </c>
      <c r="B59" s="6"/>
      <c r="C59" s="12">
        <f>C32/C26</f>
        <v>0.09496032231796434</v>
      </c>
      <c r="D59" s="12">
        <f>(D32/0.75)/D26</f>
        <v>0.0851442588837499</v>
      </c>
      <c r="E59" s="12">
        <f>(E32/0.5)/E26</f>
        <v>0.07857610954982772</v>
      </c>
      <c r="F59" s="9">
        <f>((F32)/0.25)/F26</f>
        <v>0.06224792862269551</v>
      </c>
      <c r="G59" s="9">
        <f>G32/G26</f>
        <v>0.10727273701067425</v>
      </c>
      <c r="H59" s="9">
        <f>H32/H26</f>
        <v>0.09657244496512551</v>
      </c>
    </row>
    <row r="60" spans="1:8" ht="11.25">
      <c r="A60" s="6" t="s">
        <v>52</v>
      </c>
      <c r="B60" s="6"/>
      <c r="C60" s="12">
        <f>C33/C26</f>
        <v>0.08033466568026867</v>
      </c>
      <c r="D60" s="12">
        <f>(D33/0.75)/D26</f>
        <v>0.07148618167733704</v>
      </c>
      <c r="E60" s="12">
        <f>(E33/0.5)/E26</f>
        <v>0.0661608912582872</v>
      </c>
      <c r="F60" s="9">
        <f>((F33)/0.25)/F26</f>
        <v>0.05256598526686907</v>
      </c>
      <c r="G60" s="9">
        <f>G33/G26</f>
        <v>0.09208884318545774</v>
      </c>
      <c r="H60" s="9">
        <f>H33/H26</f>
        <v>0.06601716821527237</v>
      </c>
    </row>
    <row r="61" spans="1:8" ht="11.25">
      <c r="A61" s="6" t="s">
        <v>53</v>
      </c>
      <c r="B61" s="6"/>
      <c r="C61" s="12">
        <f>C34/C26</f>
        <v>0.014625656637695661</v>
      </c>
      <c r="D61" s="12">
        <f>(D34/0.75)/D26</f>
        <v>0.013658077206412857</v>
      </c>
      <c r="E61" s="12">
        <f>(E34/0.5)/E26</f>
        <v>0.012415218291540525</v>
      </c>
      <c r="F61" s="9">
        <f>((F34)/0.25)/F26</f>
        <v>0.009681943355826434</v>
      </c>
      <c r="G61" s="9">
        <f>G34/G26</f>
        <v>0.015183893825216512</v>
      </c>
      <c r="H61" s="9">
        <f>H34/H26</f>
        <v>0.030555276749853148</v>
      </c>
    </row>
    <row r="62" spans="1:8" ht="11.25">
      <c r="A62" s="6" t="s">
        <v>54</v>
      </c>
      <c r="B62" s="6"/>
      <c r="C62" s="12">
        <f>C37/C36</f>
        <v>2.297940797940798</v>
      </c>
      <c r="D62" s="12">
        <f>(D37/0.75)/(D36/0.75)</f>
        <v>2.342084327764519</v>
      </c>
      <c r="E62" s="12">
        <f>(E37/0.5)/(E36/0.5)</f>
        <v>2.309826589595376</v>
      </c>
      <c r="F62" s="9">
        <f>(F37/0.25)/(F36/0.25)</f>
        <v>2.2641083521444694</v>
      </c>
      <c r="G62" s="9">
        <f>G37/G36</f>
        <v>1.094662638469285</v>
      </c>
      <c r="H62" s="9">
        <f>H37/H36</f>
        <v>0.3525156830111381</v>
      </c>
    </row>
    <row r="63" spans="1:8" ht="11.25">
      <c r="A63" s="2" t="s">
        <v>55</v>
      </c>
      <c r="B63" s="2"/>
      <c r="C63" s="13">
        <f>C35/C26</f>
        <v>0.001916024887034366</v>
      </c>
      <c r="D63" s="13">
        <f>(D35/0.75)/D26</f>
        <v>0.0016161247939972508</v>
      </c>
      <c r="E63" s="13">
        <f>(E35/0.5)/E26</f>
        <v>0.0014956156750171876</v>
      </c>
      <c r="F63" s="11">
        <f>(F35/0.25)/F26</f>
        <v>0.0009609869335807875</v>
      </c>
      <c r="G63" s="11">
        <f>G35/G26</f>
        <v>0.011408004884554204</v>
      </c>
      <c r="H63" s="11">
        <f>H35/H26</f>
        <v>0.020853935246507204</v>
      </c>
    </row>
    <row r="64" spans="1:8" ht="11.25">
      <c r="A64" s="4" t="s">
        <v>56</v>
      </c>
      <c r="B64" s="6"/>
      <c r="C64" s="6"/>
      <c r="D64" s="6"/>
      <c r="E64" s="6"/>
      <c r="F64" s="6"/>
      <c r="G64" s="6"/>
      <c r="H64" s="6"/>
    </row>
    <row r="65" spans="1:8" ht="11.25">
      <c r="A65" s="6" t="s">
        <v>57</v>
      </c>
      <c r="B65" s="6"/>
      <c r="C65" s="7">
        <v>21</v>
      </c>
      <c r="D65" s="7">
        <v>22</v>
      </c>
      <c r="E65" s="7">
        <v>23</v>
      </c>
      <c r="F65" s="7">
        <v>29</v>
      </c>
      <c r="G65" s="7">
        <v>30</v>
      </c>
      <c r="H65" s="7">
        <v>49</v>
      </c>
    </row>
    <row r="66" spans="1:8" ht="11.25">
      <c r="A66" s="6" t="s">
        <v>58</v>
      </c>
      <c r="B66" s="6"/>
      <c r="C66" s="7">
        <v>1</v>
      </c>
      <c r="D66" s="7">
        <v>1</v>
      </c>
      <c r="E66" s="7">
        <v>1</v>
      </c>
      <c r="F66" s="7">
        <v>1</v>
      </c>
      <c r="G66" s="7">
        <v>1</v>
      </c>
      <c r="H66" s="7">
        <v>1</v>
      </c>
    </row>
    <row r="67" spans="1:8" ht="11.25">
      <c r="A67" s="6" t="s">
        <v>59</v>
      </c>
      <c r="B67" s="6"/>
      <c r="C67" s="7">
        <f aca="true" t="shared" si="15" ref="C67:H67">C12/C65</f>
        <v>2911.3333333333335</v>
      </c>
      <c r="D67" s="7">
        <f t="shared" si="15"/>
        <v>2760.2727272727275</v>
      </c>
      <c r="E67" s="7">
        <f t="shared" si="15"/>
        <v>2602.4347826086955</v>
      </c>
      <c r="F67" s="7">
        <f t="shared" si="15"/>
        <v>2298.1724137931033</v>
      </c>
      <c r="G67" s="7">
        <f t="shared" si="15"/>
        <v>2480.0666666666666</v>
      </c>
      <c r="H67" s="7">
        <f t="shared" si="15"/>
        <v>3413.285714285714</v>
      </c>
    </row>
    <row r="68" spans="1:8" ht="11.25">
      <c r="A68" s="6" t="s">
        <v>60</v>
      </c>
      <c r="B68" s="6"/>
      <c r="C68" s="7">
        <f aca="true" t="shared" si="16" ref="C68:H68">+C16/C65</f>
        <v>3091.1428571428573</v>
      </c>
      <c r="D68" s="7">
        <f t="shared" si="16"/>
        <v>3222.5</v>
      </c>
      <c r="E68" s="7">
        <f t="shared" si="16"/>
        <v>3135.913043478261</v>
      </c>
      <c r="F68" s="7">
        <f t="shared" si="16"/>
        <v>2818.4827586206898</v>
      </c>
      <c r="G68" s="7">
        <f t="shared" si="16"/>
        <v>2927.3</v>
      </c>
      <c r="H68" s="7">
        <f t="shared" si="16"/>
        <v>4992.816326530612</v>
      </c>
    </row>
    <row r="69" spans="1:8" ht="11.25">
      <c r="A69" s="2" t="s">
        <v>61</v>
      </c>
      <c r="B69" s="2"/>
      <c r="C69" s="8">
        <f aca="true" t="shared" si="17" ref="C69:H69">+C39/C65</f>
        <v>-277.95238095238096</v>
      </c>
      <c r="D69" s="8">
        <f t="shared" si="17"/>
        <v>-90</v>
      </c>
      <c r="E69" s="8">
        <f t="shared" si="17"/>
        <v>-49.26086956521739</v>
      </c>
      <c r="F69" s="8">
        <f t="shared" si="17"/>
        <v>-19.310344827586206</v>
      </c>
      <c r="G69" s="8">
        <f t="shared" si="17"/>
        <v>-45.5</v>
      </c>
      <c r="H69" s="8">
        <f t="shared" si="17"/>
        <v>3.3469387755102042</v>
      </c>
    </row>
    <row r="70" spans="1:8" ht="11.25">
      <c r="A70" s="4" t="s">
        <v>62</v>
      </c>
      <c r="B70" s="6"/>
      <c r="C70" s="6"/>
      <c r="D70" s="6"/>
      <c r="E70" s="6"/>
      <c r="F70" s="6"/>
      <c r="G70" s="6"/>
      <c r="H70" s="6"/>
    </row>
    <row r="71" spans="1:8" ht="11.25">
      <c r="A71" s="6" t="s">
        <v>63</v>
      </c>
      <c r="B71" s="6"/>
      <c r="C71" s="9">
        <f>+(C10/G10)-1</f>
        <v>-0.20148560817084493</v>
      </c>
      <c r="D71" s="9">
        <f>+(D10/133544)-1</f>
        <v>-0.35668393937578624</v>
      </c>
      <c r="E71" s="9">
        <f>+(E10/161167)-1</f>
        <v>-0.4567126024558378</v>
      </c>
      <c r="F71" s="9">
        <f>+(F10/235508)-1</f>
        <v>-0.5860735091801552</v>
      </c>
      <c r="G71" s="9">
        <f>+(G10/H10)-1</f>
        <v>-0.6115715385216005</v>
      </c>
      <c r="H71" s="9">
        <f>(H10/338798)-1</f>
        <v>-0.20615529017290535</v>
      </c>
    </row>
    <row r="72" spans="1:8" ht="11.25">
      <c r="A72" s="6" t="s">
        <v>64</v>
      </c>
      <c r="B72" s="6"/>
      <c r="C72" s="9">
        <f aca="true" t="shared" si="18" ref="C72:H72">SUM(C73:C74)</f>
        <v>-0.17827477755974297</v>
      </c>
      <c r="D72" s="9">
        <f t="shared" si="18"/>
        <v>-0.32205017136860437</v>
      </c>
      <c r="E72" s="9">
        <f t="shared" si="18"/>
        <v>-0.44640825726256206</v>
      </c>
      <c r="F72" s="9">
        <f t="shared" si="18"/>
        <v>-0.6091314292416867</v>
      </c>
      <c r="G72" s="9">
        <f t="shared" si="18"/>
        <v>-0.5551476523309278</v>
      </c>
      <c r="H72" s="9">
        <f t="shared" si="18"/>
        <v>-0.1739426776444789</v>
      </c>
    </row>
    <row r="73" spans="1:8" ht="11.25">
      <c r="A73" s="6"/>
      <c r="B73" s="6" t="s">
        <v>13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1.25">
      <c r="A74" s="6"/>
      <c r="B74" s="6" t="s">
        <v>14</v>
      </c>
      <c r="C74" s="9">
        <f>+(C14/G14)-1</f>
        <v>-0.17827477755974297</v>
      </c>
      <c r="D74" s="9">
        <f>+(D14/89573)-1</f>
        <v>-0.32205017136860437</v>
      </c>
      <c r="E74" s="9">
        <f>+(E14/108123)-1</f>
        <v>-0.44640825726256206</v>
      </c>
      <c r="F74" s="9">
        <f>+(F14/170510)-1</f>
        <v>-0.6091314292416867</v>
      </c>
      <c r="G74" s="9">
        <f>+(G14/H14)-1</f>
        <v>-0.5551476523309278</v>
      </c>
      <c r="H74" s="9">
        <f>+(H14/202469)-1</f>
        <v>-0.1739426776444789</v>
      </c>
    </row>
    <row r="75" spans="1:8" ht="11.25">
      <c r="A75" s="6" t="s">
        <v>65</v>
      </c>
      <c r="B75" s="6"/>
      <c r="C75" s="9">
        <f aca="true" t="shared" si="19" ref="C75:H75">SUM(C76:C77)</f>
        <v>-0.26082055136132276</v>
      </c>
      <c r="D75" s="9">
        <f t="shared" si="19"/>
        <v>-0.3805700206199979</v>
      </c>
      <c r="E75" s="9">
        <f t="shared" si="19"/>
        <v>-0.4876286682437184</v>
      </c>
      <c r="F75" s="9">
        <f t="shared" si="19"/>
        <v>-0.6172781120501956</v>
      </c>
      <c r="G75" s="9">
        <f t="shared" si="19"/>
        <v>-1.640892585504686</v>
      </c>
      <c r="H75" s="9">
        <f t="shared" si="19"/>
        <v>-1.1150720014732038</v>
      </c>
    </row>
    <row r="76" spans="1:8" ht="11.25">
      <c r="A76" s="6"/>
      <c r="B76" s="6" t="s">
        <v>13</v>
      </c>
      <c r="C76" s="9">
        <v>0</v>
      </c>
      <c r="D76" s="9">
        <v>0</v>
      </c>
      <c r="E76" s="9">
        <v>0</v>
      </c>
      <c r="F76" s="9">
        <v>0</v>
      </c>
      <c r="G76" s="9">
        <f>+(G17/H17)-1</f>
        <v>-1</v>
      </c>
      <c r="H76" s="9">
        <f>+(H17/1134)-1</f>
        <v>-0.9118165784832452</v>
      </c>
    </row>
    <row r="77" spans="1:8" ht="11.25">
      <c r="A77" s="6"/>
      <c r="B77" s="6" t="s">
        <v>14</v>
      </c>
      <c r="C77" s="9">
        <f>+(C21/G21)-1</f>
        <v>-0.26082055136132276</v>
      </c>
      <c r="D77" s="9">
        <f>+(D21/114452)-1</f>
        <v>-0.3805700206199979</v>
      </c>
      <c r="E77" s="9">
        <f>+(E21/140769)-1</f>
        <v>-0.4876286682437184</v>
      </c>
      <c r="F77" s="9">
        <f>+(F21/213565)-1</f>
        <v>-0.6172781120501956</v>
      </c>
      <c r="G77" s="9">
        <f>+(G21/H21)-1</f>
        <v>-0.6408925855046862</v>
      </c>
      <c r="H77" s="9">
        <f>+(H21/306934)-1</f>
        <v>-0.2032554229899588</v>
      </c>
    </row>
    <row r="78" spans="1:8" ht="11.25">
      <c r="A78" s="6" t="s">
        <v>66</v>
      </c>
      <c r="B78" s="6"/>
      <c r="C78" s="14">
        <f>+(C24/G24)-1</f>
        <v>-0.231000261164795</v>
      </c>
      <c r="D78" s="14">
        <f>+(D24/7934)-1</f>
        <v>-0.28459793294681124</v>
      </c>
      <c r="E78" s="14">
        <f>+(E24/13906)-1</f>
        <v>-0.5307780814037106</v>
      </c>
      <c r="F78" s="14">
        <f>+(F24/14870)-1</f>
        <v>-0.5227303295225285</v>
      </c>
      <c r="G78" s="14">
        <f>+(G24/H24)-1</f>
        <v>-0.5742954027461227</v>
      </c>
      <c r="H78" s="14">
        <f>(H24/18439)-1</f>
        <v>-0.024404794186235645</v>
      </c>
    </row>
    <row r="79" spans="1:8" ht="11.25">
      <c r="A79" s="2" t="s">
        <v>67</v>
      </c>
      <c r="B79" s="2"/>
      <c r="C79" s="11">
        <f>+(C39/G39)-1</f>
        <v>3.276190476190476</v>
      </c>
      <c r="D79" s="11">
        <f>+(D39/906)-1</f>
        <v>-3.185430463576159</v>
      </c>
      <c r="E79" s="11">
        <f>+(E39/82)-1</f>
        <v>-14.817073170731707</v>
      </c>
      <c r="F79" s="11">
        <f>+(F39/882)-1</f>
        <v>-1.6349206349206349</v>
      </c>
      <c r="G79" s="11">
        <f>+(G39/H39)-1</f>
        <v>-9.323170731707316</v>
      </c>
      <c r="H79" s="11">
        <f>+(H39/1257)-1</f>
        <v>-0.8695306284805091</v>
      </c>
    </row>
    <row r="80" spans="1:8" ht="11.25">
      <c r="A80" s="6"/>
      <c r="B80" s="6"/>
      <c r="C80" s="6"/>
      <c r="D80" s="6"/>
      <c r="E80" s="6"/>
      <c r="F80" s="6"/>
      <c r="G80" s="6"/>
      <c r="H80" s="6"/>
    </row>
    <row r="81" spans="1:8" ht="11.25">
      <c r="A81" s="6"/>
      <c r="B81" s="6"/>
      <c r="C81" s="6"/>
      <c r="D81" s="6"/>
      <c r="E81" s="6"/>
      <c r="F81" s="6"/>
      <c r="G81" s="6"/>
      <c r="H81" s="6"/>
    </row>
    <row r="82" spans="1:8" ht="11.25">
      <c r="A82" s="6"/>
      <c r="B82" s="6"/>
      <c r="C82" s="6"/>
      <c r="D82" s="6"/>
      <c r="E82" s="6"/>
      <c r="F82" s="6"/>
      <c r="G82" s="6"/>
      <c r="H82" s="6"/>
    </row>
    <row r="83" spans="1:8" ht="11.25">
      <c r="A83" s="6"/>
      <c r="B83" s="6"/>
      <c r="C83" s="6"/>
      <c r="D83" s="6"/>
      <c r="E83" s="6"/>
      <c r="F83" s="6"/>
      <c r="G83" s="6"/>
      <c r="H83" s="6"/>
    </row>
    <row r="84" spans="1:8" ht="11.25">
      <c r="A84" s="6"/>
      <c r="B84" s="6"/>
      <c r="C84" s="6"/>
      <c r="D84" s="6"/>
      <c r="E84" s="6"/>
      <c r="F84" s="6"/>
      <c r="G84" s="6"/>
      <c r="H84" s="6"/>
    </row>
    <row r="85" spans="1:8" ht="11.25">
      <c r="A85" s="6"/>
      <c r="B85" s="6"/>
      <c r="C85" s="6"/>
      <c r="D85" s="6"/>
      <c r="E85" s="6"/>
      <c r="F85" s="6"/>
      <c r="G85" s="6"/>
      <c r="H85" s="6"/>
    </row>
    <row r="86" spans="1:8" ht="11.25">
      <c r="A86" s="6"/>
      <c r="B86" s="6"/>
      <c r="C86" s="6"/>
      <c r="D86" s="6"/>
      <c r="E86" s="6"/>
      <c r="F86" s="6"/>
      <c r="G86" s="6"/>
      <c r="H86" s="6"/>
    </row>
    <row r="87" spans="1:8" ht="11.25">
      <c r="A87" s="6"/>
      <c r="B87" s="6"/>
      <c r="C87" s="6"/>
      <c r="D87" s="6"/>
      <c r="E87" s="6"/>
      <c r="F87" s="6"/>
      <c r="G87" s="6"/>
      <c r="H87" s="6"/>
    </row>
    <row r="88" spans="1:8" ht="11.25">
      <c r="A88" s="6"/>
      <c r="B88" s="6"/>
      <c r="C88" s="6"/>
      <c r="D88" s="6"/>
      <c r="E88" s="6"/>
      <c r="F88" s="6"/>
      <c r="G88" s="6"/>
      <c r="H88" s="6"/>
    </row>
    <row r="89" spans="1:8" ht="11.25">
      <c r="A89" s="6"/>
      <c r="B89" s="6"/>
      <c r="C89" s="6"/>
      <c r="D89" s="6"/>
      <c r="E89" s="6"/>
      <c r="F89" s="6"/>
      <c r="G89" s="6"/>
      <c r="H89" s="6"/>
    </row>
    <row r="90" spans="1:8" ht="11.25">
      <c r="A90" s="6"/>
      <c r="B90" s="6"/>
      <c r="C90" s="6"/>
      <c r="D90" s="6"/>
      <c r="E90" s="6"/>
      <c r="F90" s="6"/>
      <c r="G90" s="6"/>
      <c r="H90" s="6"/>
    </row>
    <row r="91" spans="1:8" ht="11.25">
      <c r="A91" s="6"/>
      <c r="B91" s="6"/>
      <c r="C91" s="6"/>
      <c r="D91" s="6"/>
      <c r="E91" s="6"/>
      <c r="F91" s="6"/>
      <c r="G91" s="6"/>
      <c r="H91" s="6"/>
    </row>
    <row r="92" spans="1:8" ht="11.25">
      <c r="A92" s="6"/>
      <c r="B92" s="6"/>
      <c r="C92" s="6"/>
      <c r="D92" s="6"/>
      <c r="E92" s="6"/>
      <c r="F92" s="6"/>
      <c r="G92" s="6"/>
      <c r="H92" s="6"/>
    </row>
    <row r="93" spans="1:8" ht="11.25">
      <c r="A93" s="6"/>
      <c r="B93" s="6"/>
      <c r="C93" s="6"/>
      <c r="D93" s="6"/>
      <c r="E93" s="6"/>
      <c r="F93" s="6"/>
      <c r="G93" s="6"/>
      <c r="H93" s="6"/>
    </row>
    <row r="94" spans="1:8" ht="11.25">
      <c r="A94" s="6"/>
      <c r="B94" s="6"/>
      <c r="C94" s="6"/>
      <c r="D94" s="6"/>
      <c r="E94" s="6"/>
      <c r="F94" s="6"/>
      <c r="G94" s="6"/>
      <c r="H94" s="6"/>
    </row>
    <row r="95" spans="1:8" ht="11.25">
      <c r="A95" s="6"/>
      <c r="B95" s="6"/>
      <c r="C95" s="6"/>
      <c r="D95" s="6"/>
      <c r="E95" s="6"/>
      <c r="F95" s="6"/>
      <c r="G95" s="6"/>
      <c r="H95" s="6"/>
    </row>
    <row r="96" spans="1:8" ht="11.25">
      <c r="A96" s="6"/>
      <c r="B96" s="6"/>
      <c r="C96" s="6"/>
      <c r="D96" s="6"/>
      <c r="E96" s="6"/>
      <c r="F96" s="6"/>
      <c r="G96" s="6"/>
      <c r="H96" s="6"/>
    </row>
    <row r="97" spans="1:8" ht="11.25">
      <c r="A97" s="6"/>
      <c r="B97" s="6"/>
      <c r="C97" s="6"/>
      <c r="D97" s="6"/>
      <c r="E97" s="6"/>
      <c r="F97" s="6"/>
      <c r="G97" s="6"/>
      <c r="H97" s="6"/>
    </row>
    <row r="98" spans="1:8" ht="11.25">
      <c r="A98" s="6"/>
      <c r="B98" s="6"/>
      <c r="C98" s="6"/>
      <c r="D98" s="6"/>
      <c r="E98" s="6"/>
      <c r="F98" s="6"/>
      <c r="G98" s="6"/>
      <c r="H98" s="6"/>
    </row>
    <row r="99" spans="1:8" ht="11.25">
      <c r="A99" s="6"/>
      <c r="B99" s="6"/>
      <c r="C99" s="6"/>
      <c r="D99" s="6"/>
      <c r="E99" s="6"/>
      <c r="F99" s="6"/>
      <c r="G99" s="6"/>
      <c r="H99" s="6"/>
    </row>
    <row r="100" spans="1:8" ht="11.25">
      <c r="A100" s="6"/>
      <c r="B100" s="6"/>
      <c r="C100" s="6"/>
      <c r="D100" s="6"/>
      <c r="E100" s="6"/>
      <c r="F100" s="6"/>
      <c r="G100" s="6"/>
      <c r="H100" s="6"/>
    </row>
    <row r="101" spans="1:8" ht="11.25">
      <c r="A101" s="6"/>
      <c r="B101" s="6"/>
      <c r="C101" s="6"/>
      <c r="D101" s="6"/>
      <c r="E101" s="6"/>
      <c r="F101" s="6"/>
      <c r="G101" s="6"/>
      <c r="H101" s="6"/>
    </row>
    <row r="102" spans="1:8" ht="11.25">
      <c r="A102" s="6"/>
      <c r="B102" s="6"/>
      <c r="C102" s="6"/>
      <c r="D102" s="6"/>
      <c r="E102" s="6"/>
      <c r="F102" s="6"/>
      <c r="G102" s="6"/>
      <c r="H102" s="6"/>
    </row>
    <row r="103" spans="1:8" ht="11.25">
      <c r="A103" s="6"/>
      <c r="B103" s="6"/>
      <c r="C103" s="6"/>
      <c r="D103" s="6"/>
      <c r="E103" s="6"/>
      <c r="F103" s="6"/>
      <c r="G103" s="6"/>
      <c r="H103" s="6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2002-05-02T21:24:24Z</cp:lastPrinted>
  <dcterms:created xsi:type="dcterms:W3CDTF">2002-03-08T15:41:11Z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