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entr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<sst xmlns="http://schemas.openxmlformats.org/spreadsheetml/2006/main" count="80" uniqueCount="68">
  <si>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19-11   BANCO DEL CENTRO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</si>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</sst>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57421875" style="1" customWidth="1"/>
    <col min="2" max="2" width="32.7109375" style="1" customWidth="1"/>
    <col min="3" max="3" width="11.8515625" style="1" customWidth="1"/>
    <col min="4" max="4" width="9.7109375" style="1" customWidth="1"/>
    <col min="5" max="6" width="9.140625" style="1" customWidth="1"/>
    <col min="7" max="7" width="11.421875" style="1" customWidth="1"/>
    <col min="8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49638</v>
      </c>
      <c r="D9" s="8">
        <v>35658</v>
      </c>
      <c r="E9" s="8">
        <v>39348</v>
      </c>
      <c r="F9" s="8">
        <v>35004</v>
      </c>
      <c r="G9" s="8">
        <v>29946</v>
      </c>
      <c r="H9" s="8">
        <v>29860</v>
      </c>
    </row>
    <row r="10" spans="1:8" ht="11.25">
      <c r="A10" s="7" t="s">
        <v>11</v>
      </c>
      <c r="B10" s="7"/>
      <c r="C10" s="8">
        <v>15257</v>
      </c>
      <c r="D10" s="8">
        <v>6411</v>
      </c>
      <c r="E10" s="8">
        <v>7263</v>
      </c>
      <c r="F10" s="8">
        <v>2522</v>
      </c>
      <c r="G10" s="8">
        <v>4081</v>
      </c>
      <c r="H10" s="8">
        <v>3622</v>
      </c>
    </row>
    <row r="11" spans="1:8" ht="11.25">
      <c r="A11" s="7" t="s">
        <v>12</v>
      </c>
      <c r="B11" s="7"/>
      <c r="C11" s="8">
        <f aca="true" t="shared" si="0" ref="C11:H11">C12+C13</f>
        <v>31317</v>
      </c>
      <c r="D11" s="8">
        <f t="shared" si="0"/>
        <v>25990</v>
      </c>
      <c r="E11" s="8">
        <f t="shared" si="0"/>
        <v>30276</v>
      </c>
      <c r="F11" s="8">
        <f t="shared" si="0"/>
        <v>28368</v>
      </c>
      <c r="G11" s="8">
        <f t="shared" si="0"/>
        <v>24333</v>
      </c>
      <c r="H11" s="8">
        <f t="shared" si="0"/>
        <v>22128</v>
      </c>
    </row>
    <row r="12" spans="1:8" ht="11.25">
      <c r="A12" s="7"/>
      <c r="B12" s="7" t="s">
        <v>13</v>
      </c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31317</v>
      </c>
      <c r="D13" s="8">
        <v>25990</v>
      </c>
      <c r="E13" s="8">
        <v>30276</v>
      </c>
      <c r="F13" s="8">
        <v>28368</v>
      </c>
      <c r="G13" s="8">
        <v>24333</v>
      </c>
      <c r="H13" s="8">
        <v>22128</v>
      </c>
    </row>
    <row r="14" spans="1:8" ht="11.25">
      <c r="A14" s="7" t="s">
        <v>15</v>
      </c>
      <c r="B14" s="7"/>
      <c r="C14" s="8">
        <v>1980</v>
      </c>
      <c r="D14" s="8">
        <v>1950</v>
      </c>
      <c r="E14" s="8">
        <v>965</v>
      </c>
      <c r="F14" s="8">
        <v>2955</v>
      </c>
      <c r="G14" s="8">
        <v>945</v>
      </c>
      <c r="H14" s="8">
        <v>3502</v>
      </c>
    </row>
    <row r="15" spans="1:8" ht="11.25">
      <c r="A15" s="7" t="s">
        <v>16</v>
      </c>
      <c r="B15" s="7"/>
      <c r="C15" s="8">
        <f aca="true" t="shared" si="1" ref="C15:H15">C16+C20</f>
        <v>37831</v>
      </c>
      <c r="D15" s="8">
        <f t="shared" si="1"/>
        <v>23532</v>
      </c>
      <c r="E15" s="8">
        <f t="shared" si="1"/>
        <v>27920</v>
      </c>
      <c r="F15" s="8">
        <f t="shared" si="1"/>
        <v>23523</v>
      </c>
      <c r="G15" s="8">
        <f t="shared" si="1"/>
        <v>19015</v>
      </c>
      <c r="H15" s="8">
        <f t="shared" si="1"/>
        <v>19066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37831</v>
      </c>
      <c r="D20" s="8">
        <f t="shared" si="3"/>
        <v>23532</v>
      </c>
      <c r="E20" s="8">
        <f t="shared" si="3"/>
        <v>27920</v>
      </c>
      <c r="F20" s="8">
        <f t="shared" si="3"/>
        <v>23523</v>
      </c>
      <c r="G20" s="8">
        <f t="shared" si="3"/>
        <v>19015</v>
      </c>
      <c r="H20" s="8">
        <f t="shared" si="3"/>
        <v>19066</v>
      </c>
    </row>
    <row r="21" spans="1:8" ht="11.25">
      <c r="A21" s="7"/>
      <c r="B21" s="7" t="s">
        <v>18</v>
      </c>
      <c r="C21" s="8">
        <f>84+37747</f>
        <v>37831</v>
      </c>
      <c r="D21" s="8">
        <v>23532</v>
      </c>
      <c r="E21" s="8">
        <v>27920</v>
      </c>
      <c r="F21" s="8">
        <v>23523</v>
      </c>
      <c r="G21" s="8">
        <v>19015</v>
      </c>
      <c r="H21" s="8">
        <v>19066</v>
      </c>
    </row>
    <row r="22" spans="1:8" ht="11.25">
      <c r="A22" s="7"/>
      <c r="B22" s="7" t="s">
        <v>19</v>
      </c>
      <c r="C22" s="8"/>
      <c r="D22" s="8"/>
      <c r="E22" s="8">
        <v>0</v>
      </c>
      <c r="F22" s="8">
        <v>0</v>
      </c>
      <c r="G22" s="8">
        <v>0</v>
      </c>
      <c r="H22" s="8">
        <v>0</v>
      </c>
    </row>
    <row r="23" spans="1:8" ht="11.25">
      <c r="A23" s="3" t="s">
        <v>20</v>
      </c>
      <c r="B23" s="3"/>
      <c r="C23" s="9">
        <v>11455</v>
      </c>
      <c r="D23" s="9">
        <v>11159</v>
      </c>
      <c r="E23" s="9">
        <v>11157</v>
      </c>
      <c r="F23" s="9">
        <v>10897</v>
      </c>
      <c r="G23" s="9">
        <v>10684</v>
      </c>
      <c r="H23" s="9">
        <v>10288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39792</v>
      </c>
      <c r="D25" s="8">
        <f>+(29921+D9)/2</f>
        <v>32789.5</v>
      </c>
      <c r="E25" s="8">
        <f>+(29346+E9)/2</f>
        <v>34347</v>
      </c>
      <c r="F25" s="8">
        <f>+(30671+F9)/2</f>
        <v>32837.5</v>
      </c>
      <c r="G25" s="8">
        <f>(G9+H9)/2</f>
        <v>29903</v>
      </c>
      <c r="H25" s="8">
        <f>(H9+27858)/2</f>
        <v>28859</v>
      </c>
    </row>
    <row r="26" spans="1:8" ht="11.25">
      <c r="A26" s="7" t="s">
        <v>22</v>
      </c>
      <c r="B26" s="7"/>
      <c r="C26" s="8">
        <f aca="true" t="shared" si="4" ref="C26:H26">C27+C28</f>
        <v>29287.5</v>
      </c>
      <c r="D26" s="8">
        <f t="shared" si="4"/>
        <v>27619.5</v>
      </c>
      <c r="E26" s="8">
        <f t="shared" si="4"/>
        <v>27844</v>
      </c>
      <c r="F26" s="8">
        <f t="shared" si="4"/>
        <v>28061</v>
      </c>
      <c r="G26" s="8">
        <f t="shared" si="4"/>
        <v>25454</v>
      </c>
      <c r="H26" s="8">
        <f t="shared" si="4"/>
        <v>25761.5</v>
      </c>
    </row>
    <row r="27" spans="1:8" ht="11.25">
      <c r="A27" s="7"/>
      <c r="B27" s="7" t="s">
        <v>12</v>
      </c>
      <c r="C27" s="8">
        <f>+(C11+G11)/2</f>
        <v>27825</v>
      </c>
      <c r="D27" s="8">
        <f>+(26297+D11)/2</f>
        <v>26143.5</v>
      </c>
      <c r="E27" s="8">
        <f>+(21110+E11)/2</f>
        <v>25693</v>
      </c>
      <c r="F27" s="8">
        <f>+(21297+F11)/2</f>
        <v>24832.5</v>
      </c>
      <c r="G27" s="8">
        <f>(G11+H11)/2</f>
        <v>23230.5</v>
      </c>
      <c r="H27" s="8">
        <f>(H11+23142)/2</f>
        <v>22635</v>
      </c>
    </row>
    <row r="28" spans="1:8" ht="11.25">
      <c r="A28" s="7"/>
      <c r="B28" s="7" t="s">
        <v>15</v>
      </c>
      <c r="C28" s="8">
        <f>+(C14+G14)/2</f>
        <v>1462.5</v>
      </c>
      <c r="D28" s="8">
        <f>+(1002+D14)/2</f>
        <v>1476</v>
      </c>
      <c r="E28" s="8">
        <f>+(3337+E14)/2</f>
        <v>2151</v>
      </c>
      <c r="F28" s="8">
        <f>+(3502+F14)/2</f>
        <v>3228.5</v>
      </c>
      <c r="G28" s="8">
        <f>(G14+H14)/2</f>
        <v>2223.5</v>
      </c>
      <c r="H28" s="8">
        <f>(H14+2751)/2</f>
        <v>3126.5</v>
      </c>
    </row>
    <row r="29" spans="1:8" ht="11.25">
      <c r="A29" s="3" t="s">
        <v>20</v>
      </c>
      <c r="B29" s="3"/>
      <c r="C29" s="9">
        <f>+(C23+G23)/2</f>
        <v>11069.5</v>
      </c>
      <c r="D29" s="9">
        <f>+(9868+D23)/2</f>
        <v>10513.5</v>
      </c>
      <c r="E29" s="9">
        <f>+(9671+E23)/2</f>
        <v>10414</v>
      </c>
      <c r="F29" s="9">
        <f>+(9981+F23)/2</f>
        <v>10439</v>
      </c>
      <c r="G29" s="9">
        <f>(G23+H23)/2</f>
        <v>10486</v>
      </c>
      <c r="H29" s="9">
        <f>(H23+9429)/2</f>
        <v>9858.5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2780</v>
      </c>
      <c r="D31" s="8">
        <v>2048</v>
      </c>
      <c r="E31" s="8">
        <v>1414</v>
      </c>
      <c r="F31" s="8">
        <v>695</v>
      </c>
      <c r="G31" s="8">
        <v>2510</v>
      </c>
      <c r="H31" s="8">
        <v>2578</v>
      </c>
    </row>
    <row r="32" spans="1:8" ht="11.25">
      <c r="A32" s="7" t="s">
        <v>25</v>
      </c>
      <c r="B32" s="7"/>
      <c r="C32" s="8">
        <v>1852</v>
      </c>
      <c r="D32" s="8">
        <v>1371</v>
      </c>
      <c r="E32" s="8">
        <v>899</v>
      </c>
      <c r="F32" s="8">
        <v>443</v>
      </c>
      <c r="G32" s="8">
        <v>1659</v>
      </c>
      <c r="H32" s="8">
        <v>1708</v>
      </c>
    </row>
    <row r="33" spans="1:8" ht="11.25">
      <c r="A33" s="7" t="s">
        <v>26</v>
      </c>
      <c r="B33" s="7"/>
      <c r="C33" s="8">
        <f aca="true" t="shared" si="5" ref="C33:H33">C31-C32</f>
        <v>928</v>
      </c>
      <c r="D33" s="8">
        <f t="shared" si="5"/>
        <v>677</v>
      </c>
      <c r="E33" s="8">
        <f t="shared" si="5"/>
        <v>515</v>
      </c>
      <c r="F33" s="8">
        <f t="shared" si="5"/>
        <v>252</v>
      </c>
      <c r="G33" s="8">
        <f t="shared" si="5"/>
        <v>851</v>
      </c>
      <c r="H33" s="8">
        <f t="shared" si="5"/>
        <v>870</v>
      </c>
    </row>
    <row r="34" spans="1:8" ht="11.25">
      <c r="A34" s="7" t="s">
        <v>27</v>
      </c>
      <c r="B34" s="7"/>
      <c r="C34" s="8">
        <v>674</v>
      </c>
      <c r="D34" s="8">
        <v>463</v>
      </c>
      <c r="E34" s="8">
        <v>402</v>
      </c>
      <c r="F34" s="8">
        <v>133</v>
      </c>
      <c r="G34" s="8">
        <v>160</v>
      </c>
      <c r="H34" s="8">
        <v>126</v>
      </c>
    </row>
    <row r="35" spans="1:8" ht="11.25">
      <c r="A35" s="7" t="s">
        <v>28</v>
      </c>
      <c r="B35" s="7"/>
      <c r="C35" s="8">
        <f aca="true" t="shared" si="6" ref="C35:H35">C33+C34</f>
        <v>1602</v>
      </c>
      <c r="D35" s="8">
        <f t="shared" si="6"/>
        <v>1140</v>
      </c>
      <c r="E35" s="8">
        <f t="shared" si="6"/>
        <v>917</v>
      </c>
      <c r="F35" s="8">
        <f t="shared" si="6"/>
        <v>385</v>
      </c>
      <c r="G35" s="8">
        <f t="shared" si="6"/>
        <v>1011</v>
      </c>
      <c r="H35" s="8">
        <f t="shared" si="6"/>
        <v>996</v>
      </c>
    </row>
    <row r="36" spans="1:8" ht="11.25">
      <c r="A36" s="7" t="s">
        <v>29</v>
      </c>
      <c r="B36" s="7"/>
      <c r="C36" s="8">
        <v>198</v>
      </c>
      <c r="D36" s="8">
        <v>182</v>
      </c>
      <c r="E36" s="8">
        <v>119</v>
      </c>
      <c r="F36" s="8">
        <v>60</v>
      </c>
      <c r="G36" s="8">
        <v>249</v>
      </c>
      <c r="H36" s="8">
        <v>137</v>
      </c>
    </row>
    <row r="37" spans="1:8" ht="11.25">
      <c r="A37" s="7" t="s">
        <v>30</v>
      </c>
      <c r="B37" s="7"/>
      <c r="C37" s="8">
        <f aca="true" t="shared" si="7" ref="C37:H37">C35-C36</f>
        <v>1404</v>
      </c>
      <c r="D37" s="8">
        <f t="shared" si="7"/>
        <v>958</v>
      </c>
      <c r="E37" s="8">
        <f t="shared" si="7"/>
        <v>798</v>
      </c>
      <c r="F37" s="8">
        <f t="shared" si="7"/>
        <v>325</v>
      </c>
      <c r="G37" s="8">
        <f t="shared" si="7"/>
        <v>762</v>
      </c>
      <c r="H37" s="8">
        <f t="shared" si="7"/>
        <v>859</v>
      </c>
    </row>
    <row r="38" spans="1:8" ht="11.25">
      <c r="A38" s="3" t="s">
        <v>31</v>
      </c>
      <c r="B38" s="3"/>
      <c r="C38" s="9">
        <v>768</v>
      </c>
      <c r="D38" s="9">
        <v>472</v>
      </c>
      <c r="E38" s="9">
        <v>471</v>
      </c>
      <c r="F38" s="9">
        <v>212</v>
      </c>
      <c r="G38" s="9">
        <v>614</v>
      </c>
      <c r="H38" s="9">
        <v>859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240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35</v>
      </c>
      <c r="B42" s="7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1.25">
      <c r="A43" s="7" t="s">
        <v>36</v>
      </c>
      <c r="B43" s="7"/>
      <c r="C43" s="10">
        <f aca="true" t="shared" si="8" ref="C43:H43">C41/C11</f>
        <v>0.007663569307404924</v>
      </c>
      <c r="D43" s="10">
        <f t="shared" si="8"/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</row>
    <row r="44" spans="1:8" ht="11.25">
      <c r="A44" s="11" t="s">
        <v>37</v>
      </c>
      <c r="B44" s="7"/>
      <c r="C44" s="10">
        <f aca="true" t="shared" si="9" ref="C44:H44">C41/C11</f>
        <v>0.007663569307404924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</row>
    <row r="45" spans="1:8" ht="11.25">
      <c r="A45" s="7" t="s">
        <v>38</v>
      </c>
      <c r="B45" s="7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0.64</v>
      </c>
    </row>
    <row r="46" spans="1:8" ht="11.25">
      <c r="A46" s="3" t="s">
        <v>39</v>
      </c>
      <c r="B46" s="3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0" ref="C48:H48">+C29/C25</f>
        <v>0.2781840570969039</v>
      </c>
      <c r="D48" s="10">
        <f t="shared" si="10"/>
        <v>0.3206361792647036</v>
      </c>
      <c r="E48" s="10">
        <f t="shared" si="10"/>
        <v>0.3031996972079075</v>
      </c>
      <c r="F48" s="10">
        <f t="shared" si="10"/>
        <v>0.3178987438142368</v>
      </c>
      <c r="G48" s="10">
        <f t="shared" si="10"/>
        <v>0.35066715714142394</v>
      </c>
      <c r="H48" s="10">
        <f t="shared" si="10"/>
        <v>0.3416092033681001</v>
      </c>
    </row>
    <row r="49" spans="1:8" ht="11.25">
      <c r="A49" s="3" t="s">
        <v>42</v>
      </c>
      <c r="B49" s="3"/>
      <c r="C49" s="12">
        <f aca="true" t="shared" si="11" ref="C49:H49">+C29/C26</f>
        <v>0.37795988049509177</v>
      </c>
      <c r="D49" s="12">
        <f t="shared" si="11"/>
        <v>0.38065497203063053</v>
      </c>
      <c r="E49" s="12">
        <f t="shared" si="11"/>
        <v>0.3740123545467605</v>
      </c>
      <c r="F49" s="12">
        <f t="shared" si="11"/>
        <v>0.3720109760878087</v>
      </c>
      <c r="G49" s="12">
        <f t="shared" si="11"/>
        <v>0.41195882768916475</v>
      </c>
      <c r="H49" s="12">
        <f t="shared" si="11"/>
        <v>0.3826834617549444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0">
        <f aca="true" t="shared" si="12" ref="C51:H51">C10/C15</f>
        <v>0.4032935951997039</v>
      </c>
      <c r="D51" s="10">
        <f t="shared" si="12"/>
        <v>0.2724375318714941</v>
      </c>
      <c r="E51" s="10">
        <f t="shared" si="12"/>
        <v>0.2601361031518625</v>
      </c>
      <c r="F51" s="10">
        <f t="shared" si="12"/>
        <v>0.10721421587382561</v>
      </c>
      <c r="G51" s="10">
        <f t="shared" si="12"/>
        <v>0.21462003681304234</v>
      </c>
      <c r="H51" s="10">
        <f t="shared" si="12"/>
        <v>0.1899716773313752</v>
      </c>
    </row>
    <row r="52" spans="1:8" ht="11.25">
      <c r="A52" s="7" t="s">
        <v>45</v>
      </c>
      <c r="B52" s="7"/>
      <c r="C52" s="10">
        <f aca="true" t="shared" si="13" ref="C52:H52">C10/C9</f>
        <v>0.3073653249526572</v>
      </c>
      <c r="D52" s="10">
        <f t="shared" si="13"/>
        <v>0.17979135116944303</v>
      </c>
      <c r="E52" s="10">
        <f t="shared" si="13"/>
        <v>0.18458371454711803</v>
      </c>
      <c r="F52" s="10">
        <f t="shared" si="13"/>
        <v>0.07204890869614901</v>
      </c>
      <c r="G52" s="10">
        <f t="shared" si="13"/>
        <v>0.13627863487611033</v>
      </c>
      <c r="H52" s="10">
        <f t="shared" si="13"/>
        <v>0.12129939718687206</v>
      </c>
    </row>
    <row r="53" spans="1:8" ht="11.25">
      <c r="A53" s="3" t="s">
        <v>46</v>
      </c>
      <c r="B53" s="3"/>
      <c r="C53" s="12">
        <f aca="true" t="shared" si="14" ref="C53:H53">(C10+C14)/C15</f>
        <v>0.45563162485792075</v>
      </c>
      <c r="D53" s="12">
        <f t="shared" si="14"/>
        <v>0.35530341662417136</v>
      </c>
      <c r="E53" s="12">
        <f t="shared" si="14"/>
        <v>0.29469914040114614</v>
      </c>
      <c r="F53" s="12">
        <f t="shared" si="14"/>
        <v>0.23283594779577435</v>
      </c>
      <c r="G53" s="12">
        <f t="shared" si="14"/>
        <v>0.26431764396529056</v>
      </c>
      <c r="H53" s="12">
        <f t="shared" si="14"/>
        <v>0.37364942830168885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3">
        <f>C38/C26</f>
        <v>0.026222791293213827</v>
      </c>
      <c r="D55" s="13">
        <f>(D38/0.75)/D26</f>
        <v>0.02278583368031041</v>
      </c>
      <c r="E55" s="13">
        <f>(E38/0.5)/E26</f>
        <v>0.033831346070966814</v>
      </c>
      <c r="F55" s="10">
        <f>((F38)/0.25)/F26</f>
        <v>0.030219878122661345</v>
      </c>
      <c r="G55" s="10">
        <f>G38/G26</f>
        <v>0.024121945470260076</v>
      </c>
      <c r="H55" s="10">
        <f>H38/H26</f>
        <v>0.03334433165770627</v>
      </c>
    </row>
    <row r="56" spans="1:8" ht="11.25">
      <c r="A56" s="7" t="s">
        <v>49</v>
      </c>
      <c r="B56" s="7"/>
      <c r="C56" s="13">
        <f>C38/C25</f>
        <v>0.019300361881785282</v>
      </c>
      <c r="D56" s="13">
        <f>(D38/0.75)/D25</f>
        <v>0.019193136014069547</v>
      </c>
      <c r="E56" s="13">
        <f>(E38/0.5)/E25</f>
        <v>0.027425976067778846</v>
      </c>
      <c r="F56" s="10">
        <f>((F38)/0.25)/F25</f>
        <v>0.025824133993148077</v>
      </c>
      <c r="G56" s="10">
        <f>G38/G25</f>
        <v>0.02053305688392469</v>
      </c>
      <c r="H56" s="10">
        <f>H38/H25</f>
        <v>0.02976541113690703</v>
      </c>
    </row>
    <row r="57" spans="1:8" ht="11.25">
      <c r="A57" s="7" t="s">
        <v>50</v>
      </c>
      <c r="B57" s="7"/>
      <c r="C57" s="13">
        <f>+C38/C29</f>
        <v>0.06937982745381453</v>
      </c>
      <c r="D57" s="13">
        <f>(D38/0.75)/D29</f>
        <v>0.059859545663511995</v>
      </c>
      <c r="E57" s="13">
        <f>(E38/0.5)/E29</f>
        <v>0.09045515652006914</v>
      </c>
      <c r="F57" s="10">
        <f>((F38)/0.25)/F29</f>
        <v>0.0812338346584922</v>
      </c>
      <c r="G57" s="10">
        <f>G38/G29</f>
        <v>0.05855426282662598</v>
      </c>
      <c r="H57" s="10">
        <f>H38/H29</f>
        <v>0.0871329309732718</v>
      </c>
    </row>
    <row r="58" spans="1:8" ht="11.25">
      <c r="A58" s="7" t="s">
        <v>51</v>
      </c>
      <c r="B58" s="7"/>
      <c r="C58" s="13">
        <f>C31/C25</f>
        <v>0.06986328910333735</v>
      </c>
      <c r="D58" s="13">
        <f>(D31/0.75)/D25</f>
        <v>0.08327869185765768</v>
      </c>
      <c r="E58" s="13">
        <f>(E31/0.5)/E25</f>
        <v>0.08233615745188809</v>
      </c>
      <c r="F58" s="10">
        <f>((F31)/0.25)/F25</f>
        <v>0.08465930719451846</v>
      </c>
      <c r="G58" s="10">
        <f>G31/G25</f>
        <v>0.083938066414741</v>
      </c>
      <c r="H58" s="10">
        <f>H31/H25</f>
        <v>0.08933088464603763</v>
      </c>
    </row>
    <row r="59" spans="1:8" ht="11.25">
      <c r="A59" s="7" t="s">
        <v>52</v>
      </c>
      <c r="B59" s="7"/>
      <c r="C59" s="13">
        <f>C32/C25</f>
        <v>0.046542018496180136</v>
      </c>
      <c r="D59" s="13">
        <f>(D32/0.75)/D25</f>
        <v>0.055749553973070645</v>
      </c>
      <c r="E59" s="13">
        <f>(E32/0.5)/E25</f>
        <v>0.05234809444784115</v>
      </c>
      <c r="F59" s="10">
        <f>((F32)/0.25)/F25</f>
        <v>0.053962695089455656</v>
      </c>
      <c r="G59" s="10">
        <f>G32/G25</f>
        <v>0.05547938333946427</v>
      </c>
      <c r="H59" s="10">
        <f>H32/H25</f>
        <v>0.05918430992064867</v>
      </c>
    </row>
    <row r="60" spans="1:8" ht="11.25">
      <c r="A60" s="7" t="s">
        <v>53</v>
      </c>
      <c r="B60" s="7"/>
      <c r="C60" s="13">
        <f>C33/C25</f>
        <v>0.02332127060715722</v>
      </c>
      <c r="D60" s="13">
        <f>(D33/0.75)/D25</f>
        <v>0.027529137884587038</v>
      </c>
      <c r="E60" s="13">
        <f>(E33/0.5)/E25</f>
        <v>0.029988063004046932</v>
      </c>
      <c r="F60" s="10">
        <f>((F33)/0.25)/F25</f>
        <v>0.03069661210506281</v>
      </c>
      <c r="G60" s="10">
        <f>G33/G25</f>
        <v>0.028458683075276728</v>
      </c>
      <c r="H60" s="10">
        <f>H33/H25</f>
        <v>0.03014657472538896</v>
      </c>
    </row>
    <row r="61" spans="1:8" ht="11.25">
      <c r="A61" s="7" t="s">
        <v>54</v>
      </c>
      <c r="B61" s="7"/>
      <c r="C61" s="13">
        <f>C36/C35</f>
        <v>0.12359550561797752</v>
      </c>
      <c r="D61" s="13">
        <f>(D36/0.75)/(D35/0.75)</f>
        <v>0.15964912280701754</v>
      </c>
      <c r="E61" s="13">
        <f>(E36/0.5)/(E35/0.5)</f>
        <v>0.1297709923664122</v>
      </c>
      <c r="F61" s="10">
        <f>(F36/0.25)/(F35/0.25)</f>
        <v>0.15584415584415584</v>
      </c>
      <c r="G61" s="10">
        <f>G36/G35</f>
        <v>0.24629080118694363</v>
      </c>
      <c r="H61" s="10">
        <f>H36/H35</f>
        <v>0.13755020080321284</v>
      </c>
    </row>
    <row r="62" spans="1:8" ht="11.25">
      <c r="A62" s="3" t="s">
        <v>55</v>
      </c>
      <c r="B62" s="3"/>
      <c r="C62" s="14">
        <f>C34/C25</f>
        <v>0.016938078005629274</v>
      </c>
      <c r="D62" s="14">
        <f>(D34/0.75)/D25</f>
        <v>0.018827165200241948</v>
      </c>
      <c r="E62" s="14">
        <f>(E34/0.5)/E25</f>
        <v>0.02340815791772207</v>
      </c>
      <c r="F62" s="12">
        <f>(F34/0.25)/F25</f>
        <v>0.016200989722116484</v>
      </c>
      <c r="G62" s="12">
        <f>G34/G25</f>
        <v>0.005350633715680701</v>
      </c>
      <c r="H62" s="12">
        <f>H34/H25</f>
        <v>0.004366055649883918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f>2+0</f>
        <v>2</v>
      </c>
      <c r="D64" s="8">
        <f>2+0</f>
        <v>2</v>
      </c>
      <c r="E64" s="8">
        <v>2</v>
      </c>
      <c r="F64" s="8">
        <v>2</v>
      </c>
      <c r="G64" s="8">
        <v>2</v>
      </c>
      <c r="H64" s="8">
        <v>2</v>
      </c>
    </row>
    <row r="65" spans="1:8" ht="11.25">
      <c r="A65" s="7" t="s">
        <v>58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59</v>
      </c>
      <c r="B66" s="7"/>
      <c r="C66" s="8">
        <f aca="true" t="shared" si="15" ref="C66:H66">C11/C64</f>
        <v>15658.5</v>
      </c>
      <c r="D66" s="8">
        <f t="shared" si="15"/>
        <v>12995</v>
      </c>
      <c r="E66" s="8">
        <f t="shared" si="15"/>
        <v>15138</v>
      </c>
      <c r="F66" s="8">
        <f t="shared" si="15"/>
        <v>14184</v>
      </c>
      <c r="G66" s="8">
        <f t="shared" si="15"/>
        <v>12166.5</v>
      </c>
      <c r="H66" s="8">
        <f t="shared" si="15"/>
        <v>11064</v>
      </c>
    </row>
    <row r="67" spans="1:8" ht="11.25">
      <c r="A67" s="7" t="s">
        <v>60</v>
      </c>
      <c r="B67" s="7"/>
      <c r="C67" s="8">
        <f aca="true" t="shared" si="16" ref="C67:H67">+C15/C64</f>
        <v>18915.5</v>
      </c>
      <c r="D67" s="8">
        <f t="shared" si="16"/>
        <v>11766</v>
      </c>
      <c r="E67" s="8">
        <f t="shared" si="16"/>
        <v>13960</v>
      </c>
      <c r="F67" s="8">
        <f t="shared" si="16"/>
        <v>11761.5</v>
      </c>
      <c r="G67" s="8">
        <f t="shared" si="16"/>
        <v>9507.5</v>
      </c>
      <c r="H67" s="8">
        <f t="shared" si="16"/>
        <v>9533</v>
      </c>
    </row>
    <row r="68" spans="1:8" ht="11.25">
      <c r="A68" s="3" t="s">
        <v>61</v>
      </c>
      <c r="B68" s="3"/>
      <c r="C68" s="9">
        <f aca="true" t="shared" si="17" ref="C68:H68">+C38/C64</f>
        <v>384</v>
      </c>
      <c r="D68" s="9">
        <f t="shared" si="17"/>
        <v>236</v>
      </c>
      <c r="E68" s="9">
        <f t="shared" si="17"/>
        <v>235.5</v>
      </c>
      <c r="F68" s="9">
        <f t="shared" si="17"/>
        <v>106</v>
      </c>
      <c r="G68" s="9">
        <f t="shared" si="17"/>
        <v>307</v>
      </c>
      <c r="H68" s="9">
        <f t="shared" si="17"/>
        <v>429.5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+(C9/G9)-1</f>
        <v>0.6575836505710277</v>
      </c>
      <c r="D70" s="10">
        <f>+(D9/29921)-1</f>
        <v>0.1917382440426456</v>
      </c>
      <c r="E70" s="10">
        <f>+(E9/29346)-1</f>
        <v>0.34083009609486803</v>
      </c>
      <c r="F70" s="10">
        <f>+(F9/30671)-1</f>
        <v>0.1412735156988687</v>
      </c>
      <c r="G70" s="10">
        <f>+(G9/H9)-1</f>
        <v>0.002880107166778334</v>
      </c>
      <c r="H70" s="10">
        <f>(H9/27858)-1</f>
        <v>0.07186445545265263</v>
      </c>
    </row>
    <row r="71" spans="1:8" ht="11.25">
      <c r="A71" s="7" t="s">
        <v>64</v>
      </c>
      <c r="B71" s="7"/>
      <c r="C71" s="10">
        <f aca="true" t="shared" si="18" ref="C71:H71">SUM(C72:C73)</f>
        <v>0.28701763037849837</v>
      </c>
      <c r="D71" s="10">
        <f t="shared" si="18"/>
        <v>-0.01171191725606513</v>
      </c>
      <c r="E71" s="10">
        <f t="shared" si="18"/>
        <v>0.43420180009474185</v>
      </c>
      <c r="F71" s="10">
        <f t="shared" si="18"/>
        <v>0.3320185941681928</v>
      </c>
      <c r="G71" s="10">
        <f t="shared" si="18"/>
        <v>0.0996475054229935</v>
      </c>
      <c r="H71" s="10">
        <f t="shared" si="18"/>
        <v>0.29029470227292364</v>
      </c>
    </row>
    <row r="72" spans="1:8" ht="11.25">
      <c r="A72" s="7"/>
      <c r="B72" s="7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7"/>
      <c r="B73" s="7" t="s">
        <v>14</v>
      </c>
      <c r="C73" s="10">
        <f>+(C13/G13)-1</f>
        <v>0.28701763037849837</v>
      </c>
      <c r="D73" s="10">
        <f>+(D13/26298)-1</f>
        <v>-0.01171191725606513</v>
      </c>
      <c r="E73" s="10">
        <f>+(E13/21110)-1</f>
        <v>0.43420180009474185</v>
      </c>
      <c r="F73" s="10">
        <f>+(F13/21297)-1</f>
        <v>0.3320185941681928</v>
      </c>
      <c r="G73" s="10">
        <f>+(G13/H13)-1</f>
        <v>0.0996475054229935</v>
      </c>
      <c r="H73" s="10">
        <f>+(H9/23142)-1</f>
        <v>0.29029470227292364</v>
      </c>
    </row>
    <row r="74" spans="1:8" ht="11.25">
      <c r="A74" s="7" t="s">
        <v>65</v>
      </c>
      <c r="B74" s="7"/>
      <c r="C74" s="10">
        <f aca="true" t="shared" si="19" ref="C74:H74">SUM(C75:C76)</f>
        <v>0.9895345779647646</v>
      </c>
      <c r="D74" s="10">
        <f t="shared" si="19"/>
        <v>0.2382656282887814</v>
      </c>
      <c r="E74" s="10">
        <f t="shared" si="19"/>
        <v>0.4690870823467508</v>
      </c>
      <c r="F74" s="10">
        <f t="shared" si="19"/>
        <v>0.22816268991802846</v>
      </c>
      <c r="G74" s="10">
        <f t="shared" si="19"/>
        <v>-0.002674918703451157</v>
      </c>
      <c r="H74" s="10">
        <f t="shared" si="19"/>
        <v>0.05582013512016837</v>
      </c>
    </row>
    <row r="75" spans="1:8" ht="11.25">
      <c r="A75" s="7"/>
      <c r="B75" s="7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7"/>
      <c r="B76" s="7" t="s">
        <v>14</v>
      </c>
      <c r="C76" s="10">
        <f>+(C20/G20)-1</f>
        <v>0.9895345779647646</v>
      </c>
      <c r="D76" s="10">
        <f>+(D20/19004)-1</f>
        <v>0.2382656282887814</v>
      </c>
      <c r="E76" s="10">
        <f>+(E20/19005)-1</f>
        <v>0.4690870823467508</v>
      </c>
      <c r="F76" s="10">
        <f>+(F20/19153)-1</f>
        <v>0.22816268991802846</v>
      </c>
      <c r="G76" s="10">
        <f>+(G20/H20)-1</f>
        <v>-0.002674918703451157</v>
      </c>
      <c r="H76" s="10">
        <f>(H20/18058)-1</f>
        <v>0.05582013512016837</v>
      </c>
    </row>
    <row r="77" spans="1:8" ht="11.25">
      <c r="A77" s="7" t="s">
        <v>66</v>
      </c>
      <c r="B77" s="7"/>
      <c r="C77" s="15">
        <f>+(C23/G23)-1</f>
        <v>0.0721639835267689</v>
      </c>
      <c r="D77" s="15">
        <f>+(D23/9868)-1</f>
        <v>0.13082691528171875</v>
      </c>
      <c r="E77" s="15">
        <f>+(E23/9671)-1</f>
        <v>0.15365525798779855</v>
      </c>
      <c r="F77" s="15">
        <f>+(F23/9981)-1</f>
        <v>0.09177437130548038</v>
      </c>
      <c r="G77" s="15">
        <f>+(G23/H23)-1</f>
        <v>0.038491446345256586</v>
      </c>
      <c r="H77" s="15">
        <f>(H23/9429)-1</f>
        <v>0.0911019196097147</v>
      </c>
    </row>
    <row r="78" spans="1:8" ht="11.25">
      <c r="A78" s="3" t="s">
        <v>67</v>
      </c>
      <c r="B78" s="3"/>
      <c r="C78" s="12">
        <f>+(C38/G38)-1</f>
        <v>0.2508143322475569</v>
      </c>
      <c r="D78" s="12">
        <f>+(D38/421)-1</f>
        <v>0.12114014251781469</v>
      </c>
      <c r="E78" s="12">
        <f>+(E38/618)-1</f>
        <v>-0.23786407766990292</v>
      </c>
      <c r="F78" s="12">
        <f>+(F38/307)-1</f>
        <v>-0.30944625407166126</v>
      </c>
      <c r="G78" s="12">
        <f>+(G38/H38)-1</f>
        <v>-0.28521536670547143</v>
      </c>
      <c r="H78" s="12">
        <f>+(H38/789)-1</f>
        <v>0.08871989860583018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2002-05-02T21:15:47Z</cp:lastPrinted>
  <dcterms:created xsi:type="dcterms:W3CDTF">2002-03-08T15:38:31Z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