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Mercantil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<sst xmlns="http://schemas.openxmlformats.org/spreadsheetml/2006/main" count="80" uniqueCount="68">
  <si>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18-7   BANCO MERCANTIL DEL ISTMO,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</si>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</sst>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00390625" style="1" customWidth="1"/>
    <col min="2" max="2" width="35.421875" style="1" customWidth="1"/>
    <col min="3" max="3" width="11.8515625" style="1" customWidth="1"/>
    <col min="4" max="6" width="9.8515625" style="1" customWidth="1"/>
    <col min="7" max="8" width="11.140625" style="1" customWidth="1"/>
    <col min="9" max="16384" width="9.8515625" style="1" customWidth="1"/>
  </cols>
  <sheetData>
    <row r="1" spans="2:8" ht="11.25">
      <c r="B1" s="16"/>
      <c r="C1" s="16"/>
      <c r="D1" s="16"/>
      <c r="E1" s="16"/>
      <c r="F1" s="16"/>
      <c r="G1" s="16"/>
      <c r="H1" s="16"/>
    </row>
    <row r="2" spans="2:8" ht="11.25">
      <c r="B2" s="16"/>
      <c r="C2" s="16"/>
      <c r="D2" s="16"/>
      <c r="E2" s="16"/>
      <c r="F2" s="16" t="s">
        <v>0</v>
      </c>
      <c r="G2" s="16"/>
      <c r="H2" s="16"/>
    </row>
    <row r="3" spans="2:8" ht="11.25">
      <c r="B3" s="17"/>
      <c r="C3" s="17"/>
      <c r="D3" s="17"/>
      <c r="E3" s="17"/>
      <c r="F3" s="16" t="s">
        <v>1</v>
      </c>
      <c r="G3" s="17"/>
      <c r="H3" s="17"/>
    </row>
    <row r="4" spans="1:8" ht="11.25">
      <c r="A4" s="17"/>
      <c r="B4" s="17"/>
      <c r="C4" s="17"/>
      <c r="D4" s="17"/>
      <c r="E4" s="17"/>
      <c r="F4" s="17" t="s">
        <v>2</v>
      </c>
      <c r="G4" s="17"/>
      <c r="H4" s="17"/>
    </row>
    <row r="5" spans="1:8" ht="11.25">
      <c r="A5" s="17"/>
      <c r="B5" s="17"/>
      <c r="C5" s="17"/>
      <c r="D5" s="17"/>
      <c r="E5" s="17"/>
      <c r="F5" s="17"/>
      <c r="G5" s="17"/>
      <c r="H5" s="17"/>
    </row>
    <row r="6" spans="1:8" ht="11.25">
      <c r="A6" s="17"/>
      <c r="B6" s="17"/>
      <c r="C6" s="17"/>
      <c r="D6" s="17"/>
      <c r="E6" s="17"/>
      <c r="F6" s="17"/>
      <c r="G6" s="17"/>
      <c r="H6" s="17"/>
    </row>
    <row r="7" spans="1:8" ht="11.25">
      <c r="A7" s="3"/>
      <c r="B7" s="3"/>
      <c r="C7" s="3"/>
      <c r="D7" s="3"/>
      <c r="E7" s="3"/>
      <c r="F7" s="3"/>
      <c r="G7" s="3"/>
      <c r="H7" s="3"/>
    </row>
    <row r="8" spans="1:8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1.25">
      <c r="A9" s="5" t="s">
        <v>9</v>
      </c>
      <c r="B9" s="5"/>
      <c r="C9" s="6"/>
      <c r="D9" s="6"/>
      <c r="E9" s="6"/>
      <c r="F9" s="6"/>
      <c r="G9" s="6"/>
      <c r="H9" s="6"/>
    </row>
    <row r="10" spans="1:8" ht="11.25">
      <c r="A10" s="7" t="s">
        <v>10</v>
      </c>
      <c r="B10" s="7"/>
      <c r="C10" s="8">
        <v>364479</v>
      </c>
      <c r="D10" s="8">
        <v>314861</v>
      </c>
      <c r="E10" s="8">
        <v>333891</v>
      </c>
      <c r="F10" s="8">
        <v>335492</v>
      </c>
      <c r="G10" s="8">
        <v>355603</v>
      </c>
      <c r="H10" s="8">
        <v>339886</v>
      </c>
    </row>
    <row r="11" spans="1:8" ht="11.25">
      <c r="A11" s="7" t="s">
        <v>11</v>
      </c>
      <c r="B11" s="7"/>
      <c r="C11" s="8">
        <v>57521</v>
      </c>
      <c r="D11" s="8">
        <v>23448</v>
      </c>
      <c r="E11" s="8">
        <v>46438</v>
      </c>
      <c r="F11" s="8">
        <v>61818</v>
      </c>
      <c r="G11" s="8">
        <v>75138</v>
      </c>
      <c r="H11" s="8">
        <v>93946</v>
      </c>
    </row>
    <row r="12" spans="1:8" ht="11.25">
      <c r="A12" s="7" t="s">
        <v>12</v>
      </c>
      <c r="B12" s="7"/>
      <c r="C12" s="8">
        <f aca="true" t="shared" si="0" ref="C12:H12">C13+C14</f>
        <v>281735</v>
      </c>
      <c r="D12" s="8">
        <f t="shared" si="0"/>
        <v>262893</v>
      </c>
      <c r="E12" s="8">
        <f t="shared" si="0"/>
        <v>257368</v>
      </c>
      <c r="F12" s="8">
        <f t="shared" si="0"/>
        <v>245187</v>
      </c>
      <c r="G12" s="8">
        <f t="shared" si="0"/>
        <v>254971</v>
      </c>
      <c r="H12" s="8">
        <f t="shared" si="0"/>
        <v>220142</v>
      </c>
    </row>
    <row r="13" spans="1:8" ht="11.25">
      <c r="A13" s="7"/>
      <c r="B13" s="7" t="s">
        <v>13</v>
      </c>
      <c r="C13" s="8">
        <v>233323</v>
      </c>
      <c r="D13" s="8">
        <v>219210</v>
      </c>
      <c r="E13" s="8">
        <v>215356</v>
      </c>
      <c r="F13" s="8">
        <v>209189</v>
      </c>
      <c r="G13" s="8">
        <v>216758</v>
      </c>
      <c r="H13" s="8">
        <v>200459</v>
      </c>
    </row>
    <row r="14" spans="1:8" ht="11.25">
      <c r="A14" s="7"/>
      <c r="B14" s="7" t="s">
        <v>14</v>
      </c>
      <c r="C14" s="8">
        <v>48412</v>
      </c>
      <c r="D14" s="8">
        <v>43683</v>
      </c>
      <c r="E14" s="8">
        <v>42012</v>
      </c>
      <c r="F14" s="8">
        <v>35998</v>
      </c>
      <c r="G14" s="8">
        <v>38213</v>
      </c>
      <c r="H14" s="8">
        <v>19683</v>
      </c>
    </row>
    <row r="15" spans="1:8" ht="11.25">
      <c r="A15" s="7" t="s">
        <v>15</v>
      </c>
      <c r="B15" s="7"/>
      <c r="C15" s="8">
        <v>9938</v>
      </c>
      <c r="D15" s="8">
        <v>9098</v>
      </c>
      <c r="E15" s="8">
        <v>9099</v>
      </c>
      <c r="F15" s="8">
        <v>10098</v>
      </c>
      <c r="G15" s="8">
        <v>10118</v>
      </c>
      <c r="H15" s="8">
        <v>11348</v>
      </c>
    </row>
    <row r="16" spans="1:8" ht="11.25">
      <c r="A16" s="7" t="s">
        <v>16</v>
      </c>
      <c r="B16" s="7"/>
      <c r="C16" s="8">
        <f aca="true" t="shared" si="1" ref="C16:H16">C17+C21</f>
        <v>306633</v>
      </c>
      <c r="D16" s="8">
        <f t="shared" si="1"/>
        <v>252983</v>
      </c>
      <c r="E16" s="8">
        <f t="shared" si="1"/>
        <v>275553</v>
      </c>
      <c r="F16" s="8">
        <f t="shared" si="1"/>
        <v>277740</v>
      </c>
      <c r="G16" s="8">
        <f t="shared" si="1"/>
        <v>306571</v>
      </c>
      <c r="H16" s="8">
        <f t="shared" si="1"/>
        <v>292237</v>
      </c>
    </row>
    <row r="17" spans="1:8" ht="11.25">
      <c r="A17" s="7"/>
      <c r="B17" s="7" t="s">
        <v>13</v>
      </c>
      <c r="C17" s="8">
        <f aca="true" t="shared" si="2" ref="C17:H17">SUM(C18:C20)</f>
        <v>220190</v>
      </c>
      <c r="D17" s="8">
        <f t="shared" si="2"/>
        <v>169770</v>
      </c>
      <c r="E17" s="8">
        <f t="shared" si="2"/>
        <v>181059</v>
      </c>
      <c r="F17" s="8">
        <f t="shared" si="2"/>
        <v>178846</v>
      </c>
      <c r="G17" s="8">
        <f t="shared" si="2"/>
        <v>206834</v>
      </c>
      <c r="H17" s="8">
        <f t="shared" si="2"/>
        <v>189165</v>
      </c>
    </row>
    <row r="18" spans="1:8" ht="11.25">
      <c r="A18" s="7"/>
      <c r="B18" s="7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18</v>
      </c>
      <c r="C19" s="8">
        <v>125291</v>
      </c>
      <c r="D19" s="8">
        <v>120231</v>
      </c>
      <c r="E19" s="8">
        <v>119562</v>
      </c>
      <c r="F19" s="8">
        <v>117080</v>
      </c>
      <c r="G19" s="8">
        <v>121259</v>
      </c>
      <c r="H19" s="8">
        <v>111795</v>
      </c>
    </row>
    <row r="20" spans="1:8" ht="11.25">
      <c r="A20" s="7"/>
      <c r="B20" s="7" t="s">
        <v>19</v>
      </c>
      <c r="C20" s="8">
        <v>94899</v>
      </c>
      <c r="D20" s="8">
        <v>49539</v>
      </c>
      <c r="E20" s="8">
        <v>61497</v>
      </c>
      <c r="F20" s="8">
        <v>61766</v>
      </c>
      <c r="G20" s="8">
        <v>85575</v>
      </c>
      <c r="H20" s="8">
        <v>77370</v>
      </c>
    </row>
    <row r="21" spans="1:8" ht="11.25">
      <c r="A21" s="7"/>
      <c r="B21" s="7" t="s">
        <v>14</v>
      </c>
      <c r="C21" s="8">
        <f aca="true" t="shared" si="3" ref="C21:H21">SUM(C22:C23)</f>
        <v>86443</v>
      </c>
      <c r="D21" s="8">
        <f t="shared" si="3"/>
        <v>83213</v>
      </c>
      <c r="E21" s="8">
        <f t="shared" si="3"/>
        <v>94494</v>
      </c>
      <c r="F21" s="8">
        <f t="shared" si="3"/>
        <v>98894</v>
      </c>
      <c r="G21" s="8">
        <f t="shared" si="3"/>
        <v>99737</v>
      </c>
      <c r="H21" s="8">
        <f t="shared" si="3"/>
        <v>103072</v>
      </c>
    </row>
    <row r="22" spans="1:8" ht="11.25">
      <c r="A22" s="7"/>
      <c r="B22" s="7" t="s">
        <v>18</v>
      </c>
      <c r="C22" s="8">
        <v>64157</v>
      </c>
      <c r="D22" s="8">
        <v>64082</v>
      </c>
      <c r="E22" s="8">
        <v>74486</v>
      </c>
      <c r="F22" s="8">
        <v>79734</v>
      </c>
      <c r="G22" s="8">
        <v>79423</v>
      </c>
      <c r="H22" s="8">
        <v>74331</v>
      </c>
    </row>
    <row r="23" spans="1:8" ht="11.25">
      <c r="A23" s="7"/>
      <c r="B23" s="7" t="s">
        <v>19</v>
      </c>
      <c r="C23" s="8">
        <v>22286</v>
      </c>
      <c r="D23" s="8">
        <v>19131</v>
      </c>
      <c r="E23" s="8">
        <v>20008</v>
      </c>
      <c r="F23" s="8">
        <v>19160</v>
      </c>
      <c r="G23" s="8">
        <v>20314</v>
      </c>
      <c r="H23" s="8">
        <v>28741</v>
      </c>
    </row>
    <row r="24" spans="1:8" ht="11.25">
      <c r="A24" s="3" t="s">
        <v>20</v>
      </c>
      <c r="B24" s="3"/>
      <c r="C24" s="9">
        <v>34528</v>
      </c>
      <c r="D24" s="9">
        <v>35682</v>
      </c>
      <c r="E24" s="9">
        <v>34203</v>
      </c>
      <c r="F24" s="9">
        <v>33163</v>
      </c>
      <c r="G24" s="9">
        <v>28817</v>
      </c>
      <c r="H24" s="9">
        <v>28006</v>
      </c>
    </row>
    <row r="25" spans="1:8" ht="11.25">
      <c r="A25" s="5" t="s">
        <v>21</v>
      </c>
      <c r="B25" s="7"/>
      <c r="C25" s="8"/>
      <c r="D25" s="8"/>
      <c r="E25" s="8"/>
      <c r="F25" s="8"/>
      <c r="G25" s="8"/>
      <c r="H25" s="8"/>
    </row>
    <row r="26" spans="1:8" ht="11.25">
      <c r="A26" s="7" t="s">
        <v>10</v>
      </c>
      <c r="B26" s="7"/>
      <c r="C26" s="8">
        <f>+(C10+G10)/2</f>
        <v>360041</v>
      </c>
      <c r="D26" s="8">
        <v>311318</v>
      </c>
      <c r="E26" s="8">
        <v>326808</v>
      </c>
      <c r="F26" s="8">
        <v>318677</v>
      </c>
      <c r="G26" s="8">
        <f>(G10+H10)/2</f>
        <v>347744.5</v>
      </c>
      <c r="H26" s="8">
        <f>(H10+230053)/2</f>
        <v>284969.5</v>
      </c>
    </row>
    <row r="27" spans="1:8" ht="11.25">
      <c r="A27" s="7" t="s">
        <v>22</v>
      </c>
      <c r="B27" s="7"/>
      <c r="C27" s="8">
        <f aca="true" t="shared" si="4" ref="C27:H27">C28+C29</f>
        <v>278381</v>
      </c>
      <c r="D27" s="8">
        <f t="shared" si="4"/>
        <v>268548</v>
      </c>
      <c r="E27" s="8">
        <f t="shared" si="4"/>
        <v>264875</v>
      </c>
      <c r="F27" s="8">
        <f t="shared" si="4"/>
        <v>252661</v>
      </c>
      <c r="G27" s="8">
        <f t="shared" si="4"/>
        <v>248289.5</v>
      </c>
      <c r="H27" s="8">
        <f t="shared" si="4"/>
        <v>195118.5</v>
      </c>
    </row>
    <row r="28" spans="1:8" ht="11.25">
      <c r="A28" s="7"/>
      <c r="B28" s="7" t="s">
        <v>12</v>
      </c>
      <c r="C28" s="8">
        <f>+(C12+G12)/2</f>
        <v>268353</v>
      </c>
      <c r="D28" s="8">
        <v>260050</v>
      </c>
      <c r="E28" s="8">
        <v>256377</v>
      </c>
      <c r="F28" s="8">
        <v>243663</v>
      </c>
      <c r="G28" s="8">
        <f>(G12+H12)/2</f>
        <v>237556.5</v>
      </c>
      <c r="H28" s="8">
        <f>(H12+150079)/2</f>
        <v>185110.5</v>
      </c>
    </row>
    <row r="29" spans="1:8" ht="11.25">
      <c r="A29" s="7"/>
      <c r="B29" s="7" t="s">
        <v>15</v>
      </c>
      <c r="C29" s="8">
        <f>+(C15+G15)/2</f>
        <v>10028</v>
      </c>
      <c r="D29" s="8">
        <v>8498</v>
      </c>
      <c r="E29" s="8">
        <v>8498</v>
      </c>
      <c r="F29" s="8">
        <v>8998</v>
      </c>
      <c r="G29" s="8">
        <f>(G15+H15)/2</f>
        <v>10733</v>
      </c>
      <c r="H29" s="8">
        <f>(H15+8668)/2</f>
        <v>10008</v>
      </c>
    </row>
    <row r="30" spans="1:8" ht="11.25">
      <c r="A30" s="3" t="s">
        <v>20</v>
      </c>
      <c r="B30" s="3"/>
      <c r="C30" s="9">
        <f>+(C24+G24)/2</f>
        <v>31672.5</v>
      </c>
      <c r="D30" s="9">
        <v>33462</v>
      </c>
      <c r="E30" s="9">
        <v>32254</v>
      </c>
      <c r="F30" s="9">
        <v>31226</v>
      </c>
      <c r="G30" s="9">
        <f>(G24+H24)/2</f>
        <v>28411.5</v>
      </c>
      <c r="H30" s="9">
        <f>(H24+22738)/2</f>
        <v>25372</v>
      </c>
    </row>
    <row r="31" spans="1:8" ht="11.25">
      <c r="A31" s="5" t="s">
        <v>23</v>
      </c>
      <c r="B31" s="7"/>
      <c r="C31" s="7"/>
      <c r="D31" s="7"/>
      <c r="E31" s="7"/>
      <c r="F31" s="7"/>
      <c r="G31" s="7"/>
      <c r="H31" s="7"/>
    </row>
    <row r="32" spans="1:8" ht="11.25">
      <c r="A32" s="7" t="s">
        <v>24</v>
      </c>
      <c r="B32" s="7"/>
      <c r="C32" s="8">
        <v>28157</v>
      </c>
      <c r="D32" s="8">
        <v>20726</v>
      </c>
      <c r="E32" s="8">
        <v>13721</v>
      </c>
      <c r="F32" s="8">
        <v>6782</v>
      </c>
      <c r="G32" s="8">
        <v>26765</v>
      </c>
      <c r="H32" s="8">
        <v>22284</v>
      </c>
    </row>
    <row r="33" spans="1:8" ht="11.25">
      <c r="A33" s="7" t="s">
        <v>25</v>
      </c>
      <c r="B33" s="7"/>
      <c r="C33" s="8">
        <v>17731</v>
      </c>
      <c r="D33" s="8">
        <v>12787</v>
      </c>
      <c r="E33" s="8">
        <v>8446</v>
      </c>
      <c r="F33" s="8">
        <v>4182</v>
      </c>
      <c r="G33" s="8">
        <v>16585</v>
      </c>
      <c r="H33" s="8">
        <v>13498</v>
      </c>
    </row>
    <row r="34" spans="1:8" ht="11.25">
      <c r="A34" s="7" t="s">
        <v>26</v>
      </c>
      <c r="B34" s="7"/>
      <c r="C34" s="8">
        <f aca="true" t="shared" si="5" ref="C34:H34">C32-C33</f>
        <v>10426</v>
      </c>
      <c r="D34" s="8">
        <f t="shared" si="5"/>
        <v>7939</v>
      </c>
      <c r="E34" s="8">
        <f t="shared" si="5"/>
        <v>5275</v>
      </c>
      <c r="F34" s="8">
        <f t="shared" si="5"/>
        <v>2600</v>
      </c>
      <c r="G34" s="8">
        <f t="shared" si="5"/>
        <v>10180</v>
      </c>
      <c r="H34" s="8">
        <f t="shared" si="5"/>
        <v>8786</v>
      </c>
    </row>
    <row r="35" spans="1:8" ht="11.25">
      <c r="A35" s="7" t="s">
        <v>27</v>
      </c>
      <c r="B35" s="7"/>
      <c r="C35" s="8">
        <v>2554</v>
      </c>
      <c r="D35" s="8">
        <v>2045</v>
      </c>
      <c r="E35" s="8">
        <v>1518</v>
      </c>
      <c r="F35" s="8">
        <v>746</v>
      </c>
      <c r="G35" s="8">
        <v>2210</v>
      </c>
      <c r="H35" s="8">
        <v>2229</v>
      </c>
    </row>
    <row r="36" spans="1:8" ht="11.25">
      <c r="A36" s="7" t="s">
        <v>28</v>
      </c>
      <c r="B36" s="7"/>
      <c r="C36" s="8">
        <f aca="true" t="shared" si="6" ref="C36:H36">C34+C35</f>
        <v>12980</v>
      </c>
      <c r="D36" s="8">
        <f t="shared" si="6"/>
        <v>9984</v>
      </c>
      <c r="E36" s="8">
        <f t="shared" si="6"/>
        <v>6793</v>
      </c>
      <c r="F36" s="8">
        <f t="shared" si="6"/>
        <v>3346</v>
      </c>
      <c r="G36" s="8">
        <f t="shared" si="6"/>
        <v>12390</v>
      </c>
      <c r="H36" s="8">
        <f t="shared" si="6"/>
        <v>11015</v>
      </c>
    </row>
    <row r="37" spans="1:8" ht="11.25">
      <c r="A37" s="7" t="s">
        <v>29</v>
      </c>
      <c r="B37" s="7"/>
      <c r="C37" s="8">
        <v>6836</v>
      </c>
      <c r="D37" s="8">
        <v>4188</v>
      </c>
      <c r="E37" s="8">
        <v>2624</v>
      </c>
      <c r="F37" s="8">
        <v>1370</v>
      </c>
      <c r="G37" s="8">
        <v>8334</v>
      </c>
      <c r="H37" s="8">
        <v>4897</v>
      </c>
    </row>
    <row r="38" spans="1:8" ht="11.25">
      <c r="A38" s="7" t="s">
        <v>30</v>
      </c>
      <c r="B38" s="7"/>
      <c r="C38" s="8">
        <f aca="true" t="shared" si="7" ref="C38:H38">C36-C37</f>
        <v>6144</v>
      </c>
      <c r="D38" s="8">
        <f t="shared" si="7"/>
        <v>5796</v>
      </c>
      <c r="E38" s="8">
        <f t="shared" si="7"/>
        <v>4169</v>
      </c>
      <c r="F38" s="8">
        <f t="shared" si="7"/>
        <v>1976</v>
      </c>
      <c r="G38" s="8">
        <f t="shared" si="7"/>
        <v>4056</v>
      </c>
      <c r="H38" s="8">
        <f t="shared" si="7"/>
        <v>6118</v>
      </c>
    </row>
    <row r="39" spans="1:8" ht="11.25">
      <c r="A39" s="3" t="s">
        <v>31</v>
      </c>
      <c r="B39" s="3"/>
      <c r="C39" s="9">
        <v>3193</v>
      </c>
      <c r="D39" s="9">
        <v>4346</v>
      </c>
      <c r="E39" s="9">
        <v>2869</v>
      </c>
      <c r="F39" s="9">
        <v>1826</v>
      </c>
      <c r="G39" s="9">
        <v>1095</v>
      </c>
      <c r="H39" s="9">
        <v>5233</v>
      </c>
    </row>
    <row r="40" spans="1:8" ht="11.25">
      <c r="A40" s="5" t="s">
        <v>32</v>
      </c>
      <c r="B40" s="7"/>
      <c r="C40" s="7"/>
      <c r="D40" s="7"/>
      <c r="E40" s="7"/>
      <c r="F40" s="7"/>
      <c r="G40" s="7"/>
      <c r="H40" s="7"/>
    </row>
    <row r="41" spans="1:8" ht="11.25">
      <c r="A41" s="7" t="s">
        <v>33</v>
      </c>
      <c r="B41" s="7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1.25">
      <c r="A42" s="7" t="s">
        <v>34</v>
      </c>
      <c r="B42" s="7"/>
      <c r="C42" s="8">
        <v>4689</v>
      </c>
      <c r="D42" s="8">
        <v>4727</v>
      </c>
      <c r="E42" s="8">
        <v>4780</v>
      </c>
      <c r="F42" s="8">
        <v>4756</v>
      </c>
      <c r="G42" s="8">
        <v>3314</v>
      </c>
      <c r="H42" s="8">
        <v>1235</v>
      </c>
    </row>
    <row r="43" spans="1:8" ht="11.25">
      <c r="A43" s="7" t="s">
        <v>35</v>
      </c>
      <c r="B43" s="7"/>
      <c r="C43" s="10">
        <f aca="true" t="shared" si="8" ref="C43:H43">C41/C12</f>
        <v>0</v>
      </c>
      <c r="D43" s="10">
        <f t="shared" si="8"/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</row>
    <row r="44" spans="1:8" ht="11.25">
      <c r="A44" s="7" t="s">
        <v>36</v>
      </c>
      <c r="B44" s="7"/>
      <c r="C44" s="10">
        <f aca="true" t="shared" si="9" ref="C44:H44">C42/C12</f>
        <v>0.016643299554545937</v>
      </c>
      <c r="D44" s="10">
        <f t="shared" si="9"/>
        <v>0.017980699371987843</v>
      </c>
      <c r="E44" s="10">
        <f t="shared" si="9"/>
        <v>0.018572627521681016</v>
      </c>
      <c r="F44" s="10">
        <f t="shared" si="9"/>
        <v>0.019397439505357137</v>
      </c>
      <c r="G44" s="10">
        <f t="shared" si="9"/>
        <v>0.012997556584866515</v>
      </c>
      <c r="H44" s="10">
        <f t="shared" si="9"/>
        <v>0.005610015353726231</v>
      </c>
    </row>
    <row r="45" spans="1:8" ht="11.25">
      <c r="A45" s="11" t="s">
        <v>37</v>
      </c>
      <c r="B45" s="7"/>
      <c r="C45" s="10">
        <f aca="true" t="shared" si="10" ref="C45:H45">(C41+C42)/C12</f>
        <v>0.016643299554545937</v>
      </c>
      <c r="D45" s="10">
        <f t="shared" si="10"/>
        <v>0.017980699371987843</v>
      </c>
      <c r="E45" s="10">
        <f t="shared" si="10"/>
        <v>0.018572627521681016</v>
      </c>
      <c r="F45" s="10">
        <f t="shared" si="10"/>
        <v>0.019397439505357137</v>
      </c>
      <c r="G45" s="10">
        <f t="shared" si="10"/>
        <v>0.012997556584866515</v>
      </c>
      <c r="H45" s="10">
        <f t="shared" si="10"/>
        <v>0.005610015353726231</v>
      </c>
    </row>
    <row r="46" spans="1:8" ht="11.25">
      <c r="A46" s="7" t="s">
        <v>38</v>
      </c>
      <c r="B46" s="7"/>
      <c r="C46" s="10">
        <v>0.0149</v>
      </c>
      <c r="D46" s="10">
        <v>0.0131</v>
      </c>
      <c r="E46" s="10">
        <v>0.0128</v>
      </c>
      <c r="F46" s="10">
        <v>0.0088</v>
      </c>
      <c r="G46" s="10">
        <v>0.0098</v>
      </c>
      <c r="H46" s="10">
        <v>0.0006</v>
      </c>
    </row>
    <row r="47" spans="1:8" ht="11.25">
      <c r="A47" s="3" t="s">
        <v>39</v>
      </c>
      <c r="B47" s="3"/>
      <c r="C47" s="12">
        <v>0.8956</v>
      </c>
      <c r="D47" s="12">
        <v>0.8956</v>
      </c>
      <c r="E47" s="12">
        <v>0.8956</v>
      </c>
      <c r="F47" s="12">
        <v>0.8956</v>
      </c>
      <c r="G47" s="12">
        <v>0.8956</v>
      </c>
      <c r="H47" s="12">
        <v>0.8956</v>
      </c>
    </row>
    <row r="48" spans="1:8" ht="11.25">
      <c r="A48" s="5" t="s">
        <v>40</v>
      </c>
      <c r="B48" s="7"/>
      <c r="C48" s="7"/>
      <c r="D48" s="7"/>
      <c r="E48" s="7"/>
      <c r="F48" s="7"/>
      <c r="G48" s="7"/>
      <c r="H48" s="7"/>
    </row>
    <row r="49" spans="1:8" ht="11.25">
      <c r="A49" s="7" t="s">
        <v>41</v>
      </c>
      <c r="B49" s="7"/>
      <c r="C49" s="10">
        <f aca="true" t="shared" si="11" ref="C49:H49">C24/(C12+C15)</f>
        <v>0.11837914376716391</v>
      </c>
      <c r="D49" s="10">
        <f t="shared" si="11"/>
        <v>0.1311881643142604</v>
      </c>
      <c r="E49" s="10">
        <f t="shared" si="11"/>
        <v>0.12835735757148165</v>
      </c>
      <c r="F49" s="10">
        <f t="shared" si="11"/>
        <v>0.12990579156628865</v>
      </c>
      <c r="G49" s="10">
        <f t="shared" si="11"/>
        <v>0.1087068871209292</v>
      </c>
      <c r="H49" s="10">
        <f t="shared" si="11"/>
        <v>0.12098146788198194</v>
      </c>
    </row>
    <row r="50" spans="1:8" ht="11.25">
      <c r="A50" s="3" t="s">
        <v>42</v>
      </c>
      <c r="B50" s="3"/>
      <c r="C50" s="13">
        <f aca="true" t="shared" si="12" ref="C50:H50">C24/C12*100</f>
        <v>12.255488313486078</v>
      </c>
      <c r="D50" s="13">
        <f t="shared" si="12"/>
        <v>13.57282240303089</v>
      </c>
      <c r="E50" s="13">
        <f t="shared" si="12"/>
        <v>13.289530944017905</v>
      </c>
      <c r="F50" s="13">
        <f t="shared" si="12"/>
        <v>13.525594750129494</v>
      </c>
      <c r="G50" s="13">
        <f t="shared" si="12"/>
        <v>11.30206964713634</v>
      </c>
      <c r="H50" s="13">
        <f t="shared" si="12"/>
        <v>12.721788663680716</v>
      </c>
    </row>
    <row r="51" spans="1:8" ht="11.25">
      <c r="A51" s="5" t="s">
        <v>43</v>
      </c>
      <c r="B51" s="7"/>
      <c r="C51" s="7"/>
      <c r="D51" s="7"/>
      <c r="E51" s="7"/>
      <c r="F51" s="7"/>
      <c r="G51" s="7"/>
      <c r="H51" s="7"/>
    </row>
    <row r="52" spans="1:8" ht="11.25">
      <c r="A52" s="7" t="s">
        <v>44</v>
      </c>
      <c r="B52" s="7"/>
      <c r="C52" s="14">
        <f aca="true" t="shared" si="13" ref="C52:H52">C11/C16</f>
        <v>0.1875890722785871</v>
      </c>
      <c r="D52" s="14">
        <f t="shared" si="13"/>
        <v>0.0926860698149678</v>
      </c>
      <c r="E52" s="14">
        <f t="shared" si="13"/>
        <v>0.1685265629479628</v>
      </c>
      <c r="F52" s="14">
        <f t="shared" si="13"/>
        <v>0.2225750702095485</v>
      </c>
      <c r="G52" s="14">
        <f t="shared" si="13"/>
        <v>0.24509167533784995</v>
      </c>
      <c r="H52" s="14">
        <f t="shared" si="13"/>
        <v>0.3214719559809333</v>
      </c>
    </row>
    <row r="53" spans="1:8" ht="11.25">
      <c r="A53" s="7" t="s">
        <v>45</v>
      </c>
      <c r="B53" s="7"/>
      <c r="C53" s="14">
        <f aca="true" t="shared" si="14" ref="C53:H53">C11/C10</f>
        <v>0.15781704844449201</v>
      </c>
      <c r="D53" s="14">
        <f t="shared" si="14"/>
        <v>0.07447095702548108</v>
      </c>
      <c r="E53" s="14">
        <f t="shared" si="14"/>
        <v>0.1390813169567314</v>
      </c>
      <c r="F53" s="14">
        <f t="shared" si="14"/>
        <v>0.18426072752852526</v>
      </c>
      <c r="G53" s="14">
        <f t="shared" si="14"/>
        <v>0.2112974299991845</v>
      </c>
      <c r="H53" s="14">
        <f t="shared" si="14"/>
        <v>0.2764044414892052</v>
      </c>
    </row>
    <row r="54" spans="1:8" ht="11.25">
      <c r="A54" s="3" t="s">
        <v>46</v>
      </c>
      <c r="B54" s="3"/>
      <c r="C54" s="15">
        <f aca="true" t="shared" si="15" ref="C54:H54">(C11+C15)/C16</f>
        <v>0.21999915208082627</v>
      </c>
      <c r="D54" s="15">
        <f t="shared" si="15"/>
        <v>0.1286489606020958</v>
      </c>
      <c r="E54" s="15">
        <f t="shared" si="15"/>
        <v>0.2015474337060384</v>
      </c>
      <c r="F54" s="15">
        <f t="shared" si="15"/>
        <v>0.2589328148628213</v>
      </c>
      <c r="G54" s="15">
        <f t="shared" si="15"/>
        <v>0.2780954493412619</v>
      </c>
      <c r="H54" s="15">
        <f t="shared" si="15"/>
        <v>0.36030345233491995</v>
      </c>
    </row>
    <row r="55" spans="1:8" ht="11.25">
      <c r="A55" s="5" t="s">
        <v>47</v>
      </c>
      <c r="B55" s="7"/>
      <c r="C55" s="7"/>
      <c r="D55" s="7"/>
      <c r="E55" s="7"/>
      <c r="F55" s="7"/>
      <c r="G55" s="7"/>
      <c r="H55" s="7"/>
    </row>
    <row r="56" spans="1:8" ht="11.25">
      <c r="A56" s="7" t="s">
        <v>48</v>
      </c>
      <c r="B56" s="7"/>
      <c r="C56" s="10">
        <f>(C39)/C27</f>
        <v>0.01146989198257065</v>
      </c>
      <c r="D56" s="10">
        <f>((D39)/0.75)/D27</f>
        <v>0.02157776884082796</v>
      </c>
      <c r="E56" s="10">
        <f>((E39)/0.5)/E27</f>
        <v>0.021663048607833885</v>
      </c>
      <c r="F56" s="10">
        <f>((F39)/0.25)/F27</f>
        <v>0.028908300054222853</v>
      </c>
      <c r="G56" s="10">
        <f>G39/G27</f>
        <v>0.004410174413336045</v>
      </c>
      <c r="H56" s="10">
        <f>H39/H27</f>
        <v>0.026819599371663887</v>
      </c>
    </row>
    <row r="57" spans="1:8" ht="11.25">
      <c r="A57" s="7" t="s">
        <v>49</v>
      </c>
      <c r="B57" s="7"/>
      <c r="C57" s="10">
        <f>(C39)/C26</f>
        <v>0.00886843442830122</v>
      </c>
      <c r="D57" s="10">
        <f>((D39)/0.75)/D26</f>
        <v>0.018613336416996983</v>
      </c>
      <c r="E57" s="10">
        <f>((E39)/0.5)/E26</f>
        <v>0.01755770972558811</v>
      </c>
      <c r="F57" s="10">
        <f>((F39)/0.25)/F26</f>
        <v>0.022919758878111693</v>
      </c>
      <c r="G57" s="10">
        <f>G39/G26</f>
        <v>0.0031488636053194226</v>
      </c>
      <c r="H57" s="10">
        <f>H39/H26</f>
        <v>0.01836336871138841</v>
      </c>
    </row>
    <row r="58" spans="1:8" ht="11.25">
      <c r="A58" s="7" t="s">
        <v>50</v>
      </c>
      <c r="B58" s="7"/>
      <c r="C58" s="10">
        <f>(C39)/C30</f>
        <v>0.1008130081300813</v>
      </c>
      <c r="D58" s="10">
        <f>((D39)/0.75)/D30</f>
        <v>0.1731715577869424</v>
      </c>
      <c r="E58" s="10">
        <f>((E39)/0.5)/E30</f>
        <v>0.177900415452347</v>
      </c>
      <c r="F58" s="10">
        <f>((F39)/0.25)/F30</f>
        <v>0.23390764106834047</v>
      </c>
      <c r="G58" s="10">
        <f>G39/G30</f>
        <v>0.038540731745947944</v>
      </c>
      <c r="H58" s="10">
        <f>H39/H30</f>
        <v>0.20625098533816805</v>
      </c>
    </row>
    <row r="59" spans="1:8" ht="11.25">
      <c r="A59" s="7" t="s">
        <v>51</v>
      </c>
      <c r="B59" s="7"/>
      <c r="C59" s="10">
        <f>(C32)/C26</f>
        <v>0.07820498221035938</v>
      </c>
      <c r="D59" s="10">
        <f>((D32)/0.75)/D26</f>
        <v>0.08876668444056132</v>
      </c>
      <c r="E59" s="10">
        <f>((E32)/0.5)/E26</f>
        <v>0.08396979266113437</v>
      </c>
      <c r="F59" s="10">
        <f>((F32)/0.25)/F26</f>
        <v>0.08512694672034693</v>
      </c>
      <c r="G59" s="10">
        <f>G32/G26</f>
        <v>0.07696742867248799</v>
      </c>
      <c r="H59" s="10">
        <f>H32/H26</f>
        <v>0.0781978422252206</v>
      </c>
    </row>
    <row r="60" spans="1:8" ht="11.25">
      <c r="A60" s="7" t="s">
        <v>52</v>
      </c>
      <c r="B60" s="7"/>
      <c r="C60" s="10">
        <f>(C33)/C26</f>
        <v>0.049247169072411195</v>
      </c>
      <c r="D60" s="10">
        <f>((D33)/0.75)/D26</f>
        <v>0.05476500983988505</v>
      </c>
      <c r="E60" s="10">
        <f>((E33)/0.5)/E26</f>
        <v>0.05168784117891851</v>
      </c>
      <c r="F60" s="10">
        <f>((F33)/0.25)/F26</f>
        <v>0.05249202170222514</v>
      </c>
      <c r="G60" s="10">
        <f>G33/G26</f>
        <v>0.04769306200385628</v>
      </c>
      <c r="H60" s="10">
        <f>H33/H26</f>
        <v>0.047366472552325775</v>
      </c>
    </row>
    <row r="61" spans="1:8" ht="11.25">
      <c r="A61" s="7" t="s">
        <v>53</v>
      </c>
      <c r="B61" s="7"/>
      <c r="C61" s="10">
        <f>(C34)/C26</f>
        <v>0.02895781313794818</v>
      </c>
      <c r="D61" s="10">
        <f>((D34)/0.75)/D26</f>
        <v>0.03400167460067627</v>
      </c>
      <c r="E61" s="10">
        <f>((E34)/0.5)/E26</f>
        <v>0.03228195148221586</v>
      </c>
      <c r="F61" s="10">
        <f>((F34)/0.25)/F26</f>
        <v>0.0326349250181218</v>
      </c>
      <c r="G61" s="10">
        <f>G34/G26</f>
        <v>0.029274366668631712</v>
      </c>
      <c r="H61" s="10">
        <f>H34/H26</f>
        <v>0.030831369672894817</v>
      </c>
    </row>
    <row r="62" spans="1:8" ht="11.25">
      <c r="A62" s="7" t="s">
        <v>54</v>
      </c>
      <c r="B62" s="7"/>
      <c r="C62" s="10">
        <f>(C37)/(C36)</f>
        <v>0.5266563944530046</v>
      </c>
      <c r="D62" s="10">
        <f>((D37)/0.75)/((D36)/0.75)</f>
        <v>0.41947115384615385</v>
      </c>
      <c r="E62" s="10">
        <f>((E37)/0.5)/((E36)/0.5)</f>
        <v>0.3862799941115855</v>
      </c>
      <c r="F62" s="10">
        <f>(F37/0.25)/(F36/0.25)</f>
        <v>0.40944411237298267</v>
      </c>
      <c r="G62" s="10">
        <f>G37/G36</f>
        <v>0.672639225181598</v>
      </c>
      <c r="H62" s="10">
        <f>H37/H36</f>
        <v>0.4445755787562415</v>
      </c>
    </row>
    <row r="63" spans="1:8" ht="11.25">
      <c r="A63" s="3" t="s">
        <v>55</v>
      </c>
      <c r="B63" s="3"/>
      <c r="C63" s="12">
        <f>(C35)/C26</f>
        <v>0.007093636558058666</v>
      </c>
      <c r="D63" s="12">
        <f>((D35)/0.75)/D26</f>
        <v>0.00875846133749628</v>
      </c>
      <c r="E63" s="12">
        <f>((E35)/0.5)/E26</f>
        <v>0.00928985826540354</v>
      </c>
      <c r="F63" s="12">
        <f>(F35/0.255)/F26</f>
        <v>0.009180110883679812</v>
      </c>
      <c r="G63" s="12">
        <f>G35/G26</f>
        <v>0.006355240701146962</v>
      </c>
      <c r="H63" s="12">
        <f>H35/H26</f>
        <v>0.00782188971100416</v>
      </c>
    </row>
    <row r="64" spans="1:8" ht="11.25">
      <c r="A64" s="5" t="s">
        <v>56</v>
      </c>
      <c r="B64" s="7"/>
      <c r="C64" s="7"/>
      <c r="D64" s="7"/>
      <c r="E64" s="7"/>
      <c r="F64" s="7"/>
      <c r="G64" s="7"/>
      <c r="H64" s="7"/>
    </row>
    <row r="65" spans="1:8" ht="11.25">
      <c r="A65" s="7" t="s">
        <v>57</v>
      </c>
      <c r="B65" s="7"/>
      <c r="C65" s="8">
        <v>83</v>
      </c>
      <c r="D65" s="8">
        <v>84</v>
      </c>
      <c r="E65" s="8">
        <v>89</v>
      </c>
      <c r="F65" s="8">
        <v>77</v>
      </c>
      <c r="G65" s="8">
        <v>91</v>
      </c>
      <c r="H65" s="8">
        <v>84</v>
      </c>
    </row>
    <row r="66" spans="1:8" ht="11.25">
      <c r="A66" s="7" t="s">
        <v>58</v>
      </c>
      <c r="B66" s="7"/>
      <c r="C66" s="8">
        <v>4</v>
      </c>
      <c r="D66" s="8">
        <v>4</v>
      </c>
      <c r="E66" s="8">
        <v>4</v>
      </c>
      <c r="F66" s="8">
        <v>4</v>
      </c>
      <c r="G66" s="8">
        <v>4</v>
      </c>
      <c r="H66" s="8">
        <v>4</v>
      </c>
    </row>
    <row r="67" spans="1:8" ht="11.25">
      <c r="A67" s="7" t="s">
        <v>59</v>
      </c>
      <c r="B67" s="7"/>
      <c r="C67" s="8">
        <f aca="true" t="shared" si="16" ref="C67:H67">C12/C65</f>
        <v>3394.397590361446</v>
      </c>
      <c r="D67" s="8">
        <f t="shared" si="16"/>
        <v>3129.6785714285716</v>
      </c>
      <c r="E67" s="8">
        <f t="shared" si="16"/>
        <v>2891.775280898876</v>
      </c>
      <c r="F67" s="8">
        <f t="shared" si="16"/>
        <v>3184.246753246753</v>
      </c>
      <c r="G67" s="8">
        <f t="shared" si="16"/>
        <v>2801.879120879121</v>
      </c>
      <c r="H67" s="8">
        <f t="shared" si="16"/>
        <v>2620.7380952380954</v>
      </c>
    </row>
    <row r="68" spans="1:8" ht="11.25">
      <c r="A68" s="7" t="s">
        <v>60</v>
      </c>
      <c r="B68" s="7"/>
      <c r="C68" s="8">
        <f aca="true" t="shared" si="17" ref="C68:H68">C16/C65</f>
        <v>3694.373493975904</v>
      </c>
      <c r="D68" s="8">
        <f t="shared" si="17"/>
        <v>3011.7023809523807</v>
      </c>
      <c r="E68" s="8">
        <f t="shared" si="17"/>
        <v>3096.1011235955057</v>
      </c>
      <c r="F68" s="8">
        <f t="shared" si="17"/>
        <v>3607.012987012987</v>
      </c>
      <c r="G68" s="8">
        <f t="shared" si="17"/>
        <v>3368.912087912088</v>
      </c>
      <c r="H68" s="8">
        <f t="shared" si="17"/>
        <v>3479.0119047619046</v>
      </c>
    </row>
    <row r="69" spans="1:8" ht="11.25">
      <c r="A69" s="3" t="s">
        <v>61</v>
      </c>
      <c r="B69" s="3"/>
      <c r="C69" s="9">
        <f aca="true" t="shared" si="18" ref="C69:H69">C39/C65</f>
        <v>38.46987951807229</v>
      </c>
      <c r="D69" s="9">
        <f t="shared" si="18"/>
        <v>51.73809523809524</v>
      </c>
      <c r="E69" s="9">
        <f t="shared" si="18"/>
        <v>32.235955056179776</v>
      </c>
      <c r="F69" s="9">
        <f t="shared" si="18"/>
        <v>23.714285714285715</v>
      </c>
      <c r="G69" s="9">
        <f t="shared" si="18"/>
        <v>12.032967032967033</v>
      </c>
      <c r="H69" s="9">
        <f t="shared" si="18"/>
        <v>62.29761904761905</v>
      </c>
    </row>
    <row r="70" spans="1:8" ht="11.25">
      <c r="A70" s="5" t="s">
        <v>62</v>
      </c>
      <c r="B70" s="7"/>
      <c r="C70" s="7"/>
      <c r="D70" s="7"/>
      <c r="E70" s="7"/>
      <c r="F70" s="7"/>
      <c r="G70" s="7"/>
      <c r="H70" s="7"/>
    </row>
    <row r="71" spans="1:8" ht="11.25">
      <c r="A71" s="7" t="s">
        <v>63</v>
      </c>
      <c r="B71" s="7"/>
      <c r="C71" s="10">
        <f>(C10-G10)/G10</f>
        <v>0.02496041934404378</v>
      </c>
      <c r="D71" s="10">
        <f>(D10-307775)/307775</f>
        <v>0.023023312484769718</v>
      </c>
      <c r="E71" s="10">
        <f>(E10-319725)/319725</f>
        <v>0.04430682617874736</v>
      </c>
      <c r="F71" s="10">
        <f>(F10-301862)/301862</f>
        <v>0.1114085244250684</v>
      </c>
      <c r="G71" s="10">
        <f>(G10-H10)/H10</f>
        <v>0.046241975250525175</v>
      </c>
      <c r="H71" s="10">
        <f>(H10-230053)/230053</f>
        <v>0.4774247673362225</v>
      </c>
    </row>
    <row r="72" spans="1:8" ht="11.25">
      <c r="A72" s="7" t="s">
        <v>64</v>
      </c>
      <c r="B72" s="7"/>
      <c r="C72" s="10">
        <f>(C12-G12)/G12</f>
        <v>0.10496880037337579</v>
      </c>
      <c r="D72" s="10">
        <f>D12/257208-1</f>
        <v>0.02210273397405982</v>
      </c>
      <c r="E72" s="10">
        <f>E12/255386-1</f>
        <v>0.007760801296860409</v>
      </c>
      <c r="F72" s="10">
        <f>F12/242140-1</f>
        <v>0.0125836293053605</v>
      </c>
      <c r="G72" s="10">
        <f>(G12-H12)/H12</f>
        <v>0.15821151802018696</v>
      </c>
      <c r="H72" s="10">
        <f>(H12-150079)/150079</f>
        <v>0.4668407971801518</v>
      </c>
    </row>
    <row r="73" spans="1:8" ht="11.25">
      <c r="A73" s="7"/>
      <c r="B73" s="7" t="s">
        <v>13</v>
      </c>
      <c r="C73" s="10">
        <f>(C13-G13)/G13</f>
        <v>0.0764216314968767</v>
      </c>
      <c r="D73" s="10">
        <f>D13/229379-1</f>
        <v>-0.04433274188134051</v>
      </c>
      <c r="E73" s="10">
        <f>E13/228631-1</f>
        <v>-0.05806299233262335</v>
      </c>
      <c r="F73" s="10">
        <f>F13/220396-1</f>
        <v>-0.05084938020653729</v>
      </c>
      <c r="G73" s="10">
        <f>(G13-H13)/H13</f>
        <v>0.08130839722836092</v>
      </c>
      <c r="H73" s="10">
        <f>(H13-144961)/144961</f>
        <v>0.38284780044287775</v>
      </c>
    </row>
    <row r="74" spans="1:8" ht="11.25">
      <c r="A74" s="7"/>
      <c r="B74" s="7" t="s">
        <v>14</v>
      </c>
      <c r="C74" s="10">
        <f>(C14-G14)/G14</f>
        <v>0.26689869939549365</v>
      </c>
      <c r="D74" s="10">
        <f>D14/27829-1</f>
        <v>0.5696934852132667</v>
      </c>
      <c r="E74" s="10">
        <f>E14/26755-1</f>
        <v>0.5702485516725846</v>
      </c>
      <c r="F74" s="10">
        <f>F14/21744-1</f>
        <v>0.6555371596762325</v>
      </c>
      <c r="G74" s="10">
        <f>(G14-H14)/H14</f>
        <v>0.9414215312706397</v>
      </c>
      <c r="H74" s="10">
        <f>(H14-5118)/5118</f>
        <v>2.8458382180539274</v>
      </c>
    </row>
    <row r="75" spans="1:8" ht="11.25">
      <c r="A75" s="7" t="s">
        <v>65</v>
      </c>
      <c r="B75" s="7"/>
      <c r="C75" s="10">
        <f>(C16-G16)/G16</f>
        <v>0.00020223700219525005</v>
      </c>
      <c r="D75" s="10">
        <f>D16/262570-1</f>
        <v>-0.03651216818372238</v>
      </c>
      <c r="E75" s="10">
        <f>E16/271333-1</f>
        <v>0.015552844659514342</v>
      </c>
      <c r="F75" s="10">
        <f>F16/250712-1</f>
        <v>0.10780497144133516</v>
      </c>
      <c r="G75" s="10">
        <f>(G16-H16)/H16</f>
        <v>0.04904923059024011</v>
      </c>
      <c r="H75" s="10">
        <f>(H16-188009)/188009</f>
        <v>0.5543777159604062</v>
      </c>
    </row>
    <row r="76" spans="1:8" ht="11.25">
      <c r="A76" s="7"/>
      <c r="B76" s="7" t="s">
        <v>13</v>
      </c>
      <c r="C76" s="10">
        <f>(C17-G17)/G17</f>
        <v>0.06457352272837154</v>
      </c>
      <c r="D76" s="10">
        <f>D17/166315-1</f>
        <v>0.020773832787180924</v>
      </c>
      <c r="E76" s="10">
        <f>E17/166011-1</f>
        <v>0.09064459584003459</v>
      </c>
      <c r="F76" s="10">
        <f>F17/158209-1</f>
        <v>0.13044137817696844</v>
      </c>
      <c r="G76" s="10">
        <f>(G17-H17)/H17</f>
        <v>0.09340522823989639</v>
      </c>
      <c r="H76" s="10">
        <f>(H17-112338)/112338</f>
        <v>0.6838914703840197</v>
      </c>
    </row>
    <row r="77" spans="1:8" ht="11.25">
      <c r="A77" s="7"/>
      <c r="B77" s="7" t="s">
        <v>14</v>
      </c>
      <c r="C77" s="10">
        <f>(C21-G21)/G21</f>
        <v>-0.13329055415743404</v>
      </c>
      <c r="D77" s="10">
        <f>D21/96256-1</f>
        <v>-0.13550324135638303</v>
      </c>
      <c r="E77" s="10">
        <f>E21/105322-1</f>
        <v>-0.10280853003171231</v>
      </c>
      <c r="F77" s="10">
        <f>F21/92502-1</f>
        <v>0.06910120862251623</v>
      </c>
      <c r="G77" s="10">
        <f>(G21-H21)/H21</f>
        <v>-0.0323560229742316</v>
      </c>
      <c r="H77" s="10">
        <f>(H21-75971)/75971</f>
        <v>0.35672822524384307</v>
      </c>
    </row>
    <row r="78" spans="1:8" ht="11.25">
      <c r="A78" s="7" t="s">
        <v>66</v>
      </c>
      <c r="B78" s="7"/>
      <c r="C78" s="10">
        <f>(C24-G24)/G24</f>
        <v>0.19818162889960786</v>
      </c>
      <c r="D78" s="10">
        <f>(D24-31242)/31242</f>
        <v>0.1421163817937392</v>
      </c>
      <c r="E78" s="10">
        <f>(E24-30306)/30306</f>
        <v>0.12858839833696298</v>
      </c>
      <c r="F78" s="10">
        <f>(F24-29289)/29289</f>
        <v>0.13226808699511763</v>
      </c>
      <c r="G78" s="10">
        <f>(G24-H24)/H24</f>
        <v>0.028958080411340428</v>
      </c>
      <c r="H78" s="10">
        <f>(H24-22738)/22738</f>
        <v>0.23168264579118655</v>
      </c>
    </row>
    <row r="79" spans="1:8" ht="11.25">
      <c r="A79" s="3" t="s">
        <v>67</v>
      </c>
      <c r="B79" s="3"/>
      <c r="C79" s="12">
        <f>C39/G39-1</f>
        <v>1.9159817351598174</v>
      </c>
      <c r="D79" s="12">
        <f>D39/4632-1</f>
        <v>-0.06174438687392059</v>
      </c>
      <c r="E79" s="12">
        <f>E39/2683-1</f>
        <v>0.06932538203503547</v>
      </c>
      <c r="F79" s="12">
        <f>F39/1680-1</f>
        <v>0.08690476190476182</v>
      </c>
      <c r="G79" s="12">
        <f>(G39-H39)/H39</f>
        <v>-0.7907510032486146</v>
      </c>
      <c r="H79" s="12">
        <f>(H39-3406)/3406</f>
        <v>0.5364063417498532</v>
      </c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  <row r="92" spans="1:8" ht="9">
      <c r="A92" s="2"/>
      <c r="B92" s="2"/>
      <c r="C92" s="2"/>
      <c r="D92" s="2"/>
      <c r="E92" s="2"/>
      <c r="F92" s="2"/>
      <c r="G92" s="2"/>
      <c r="H92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2002-05-02T18:50:17Z</cp:lastPrinted>
  <dcterms:created xsi:type="dcterms:W3CDTF">2002-03-08T15:11:06Z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