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ontinental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<sst xmlns="http://schemas.openxmlformats.org/spreadsheetml/2006/main" count="80" uniqueCount="68">
  <si>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18-6      BANCO CONTINENTAL DE PANAMA,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</si>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</sst>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.00390625" style="1" customWidth="1"/>
    <col min="2" max="2" width="35.140625" style="1" customWidth="1"/>
    <col min="3" max="3" width="11.140625" style="1" customWidth="1"/>
    <col min="4" max="6" width="9.8515625" style="1" customWidth="1"/>
    <col min="7" max="7" width="10.57421875" style="1" customWidth="1"/>
    <col min="8" max="8" width="11.28125" style="1" customWidth="1"/>
    <col min="9" max="16384" width="9.851562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3"/>
      <c r="B6" s="3"/>
      <c r="C6" s="3"/>
      <c r="D6" s="3"/>
      <c r="E6" s="3"/>
      <c r="F6" s="3"/>
      <c r="G6" s="3"/>
      <c r="H6" s="3"/>
    </row>
    <row r="7" spans="1:8" s="2" customFormat="1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s="2" customFormat="1" ht="11.25">
      <c r="A8" s="5" t="s">
        <v>9</v>
      </c>
      <c r="B8" s="5"/>
      <c r="C8" s="6"/>
      <c r="D8" s="6"/>
      <c r="E8" s="6"/>
      <c r="F8" s="6"/>
      <c r="G8" s="6"/>
      <c r="H8" s="6"/>
    </row>
    <row r="9" spans="1:8" s="2" customFormat="1" ht="11.25">
      <c r="A9" s="2" t="s">
        <v>10</v>
      </c>
      <c r="C9" s="7">
        <v>1171825</v>
      </c>
      <c r="D9" s="7">
        <v>1335862</v>
      </c>
      <c r="E9" s="7">
        <v>1279220</v>
      </c>
      <c r="F9" s="7">
        <v>1188440</v>
      </c>
      <c r="G9" s="7">
        <v>1136001</v>
      </c>
      <c r="H9" s="7">
        <v>753127</v>
      </c>
    </row>
    <row r="10" spans="1:8" s="2" customFormat="1" ht="11.25">
      <c r="A10" s="2" t="s">
        <v>11</v>
      </c>
      <c r="C10" s="7">
        <v>182620</v>
      </c>
      <c r="D10" s="7">
        <v>143012</v>
      </c>
      <c r="E10" s="7">
        <v>134417</v>
      </c>
      <c r="F10" s="7">
        <v>125404</v>
      </c>
      <c r="G10" s="7">
        <v>150222</v>
      </c>
      <c r="H10" s="7">
        <v>106572</v>
      </c>
    </row>
    <row r="11" spans="1:8" s="2" customFormat="1" ht="11.25">
      <c r="A11" s="2" t="s">
        <v>12</v>
      </c>
      <c r="C11" s="7">
        <f aca="true" t="shared" si="0" ref="C11:H11">C12+C13</f>
        <v>687301</v>
      </c>
      <c r="D11" s="7">
        <f t="shared" si="0"/>
        <v>666718</v>
      </c>
      <c r="E11" s="7">
        <f t="shared" si="0"/>
        <v>635176</v>
      </c>
      <c r="F11" s="7">
        <f t="shared" si="0"/>
        <v>613337</v>
      </c>
      <c r="G11" s="7">
        <f t="shared" si="0"/>
        <v>570605</v>
      </c>
      <c r="H11" s="7">
        <f t="shared" si="0"/>
        <v>427599</v>
      </c>
    </row>
    <row r="12" spans="2:8" s="2" customFormat="1" ht="11.25">
      <c r="B12" s="2" t="s">
        <v>13</v>
      </c>
      <c r="C12" s="7">
        <v>598673</v>
      </c>
      <c r="D12" s="7">
        <v>598772</v>
      </c>
      <c r="E12" s="7">
        <v>570814</v>
      </c>
      <c r="F12" s="7">
        <v>553441</v>
      </c>
      <c r="G12" s="7">
        <v>508827</v>
      </c>
      <c r="H12" s="7">
        <v>388181</v>
      </c>
    </row>
    <row r="13" spans="2:8" s="2" customFormat="1" ht="11.25">
      <c r="B13" s="2" t="s">
        <v>14</v>
      </c>
      <c r="C13" s="7">
        <v>88628</v>
      </c>
      <c r="D13" s="7">
        <v>67946</v>
      </c>
      <c r="E13" s="7">
        <v>64362</v>
      </c>
      <c r="F13" s="7">
        <v>59896</v>
      </c>
      <c r="G13" s="7">
        <v>61778</v>
      </c>
      <c r="H13" s="7">
        <v>39418</v>
      </c>
    </row>
    <row r="14" spans="1:8" s="2" customFormat="1" ht="11.25">
      <c r="A14" s="2" t="s">
        <v>15</v>
      </c>
      <c r="C14" s="7">
        <v>255717</v>
      </c>
      <c r="D14" s="7">
        <v>359567</v>
      </c>
      <c r="E14" s="7">
        <v>354684</v>
      </c>
      <c r="F14" s="7">
        <v>317394</v>
      </c>
      <c r="G14" s="7">
        <v>309664</v>
      </c>
      <c r="H14" s="7">
        <v>196336</v>
      </c>
    </row>
    <row r="15" spans="1:8" s="2" customFormat="1" ht="11.25">
      <c r="A15" s="2" t="s">
        <v>16</v>
      </c>
      <c r="C15" s="7">
        <f aca="true" t="shared" si="1" ref="C15:H15">C16+C20</f>
        <v>701183</v>
      </c>
      <c r="D15" s="7">
        <f t="shared" si="1"/>
        <v>666436</v>
      </c>
      <c r="E15" s="7">
        <f t="shared" si="1"/>
        <v>622777</v>
      </c>
      <c r="F15" s="7">
        <f t="shared" si="1"/>
        <v>602619</v>
      </c>
      <c r="G15" s="7">
        <f t="shared" si="1"/>
        <v>611940</v>
      </c>
      <c r="H15" s="7">
        <f t="shared" si="1"/>
        <v>478583</v>
      </c>
    </row>
    <row r="16" spans="2:8" s="2" customFormat="1" ht="11.25">
      <c r="B16" s="2" t="s">
        <v>13</v>
      </c>
      <c r="C16" s="7">
        <f aca="true" t="shared" si="2" ref="C16:H16">SUM(C17:C19)</f>
        <v>652145</v>
      </c>
      <c r="D16" s="7">
        <f t="shared" si="2"/>
        <v>623638</v>
      </c>
      <c r="E16" s="7">
        <f t="shared" si="2"/>
        <v>583934</v>
      </c>
      <c r="F16" s="7">
        <f t="shared" si="2"/>
        <v>554428</v>
      </c>
      <c r="G16" s="7">
        <f t="shared" si="2"/>
        <v>554614</v>
      </c>
      <c r="H16" s="7">
        <f t="shared" si="2"/>
        <v>435648</v>
      </c>
    </row>
    <row r="17" spans="2:8" s="2" customFormat="1" ht="11.25">
      <c r="B17" s="2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s="2" customFormat="1" ht="11.25">
      <c r="B18" s="2" t="s">
        <v>18</v>
      </c>
      <c r="C18" s="7">
        <v>508391</v>
      </c>
      <c r="D18" s="7">
        <v>467313</v>
      </c>
      <c r="E18" s="7">
        <v>461656</v>
      </c>
      <c r="F18" s="7">
        <v>455009</v>
      </c>
      <c r="G18" s="7">
        <v>439010</v>
      </c>
      <c r="H18" s="7">
        <v>334448</v>
      </c>
    </row>
    <row r="19" spans="2:8" s="2" customFormat="1" ht="11.25">
      <c r="B19" s="2" t="s">
        <v>19</v>
      </c>
      <c r="C19" s="7">
        <v>143754</v>
      </c>
      <c r="D19" s="7">
        <v>156325</v>
      </c>
      <c r="E19" s="7">
        <v>122278</v>
      </c>
      <c r="F19" s="7">
        <v>99419</v>
      </c>
      <c r="G19" s="7">
        <v>115604</v>
      </c>
      <c r="H19" s="7">
        <v>101200</v>
      </c>
    </row>
    <row r="20" spans="2:8" s="2" customFormat="1" ht="11.25">
      <c r="B20" s="2" t="s">
        <v>14</v>
      </c>
      <c r="C20" s="7">
        <f aca="true" t="shared" si="3" ref="C20:H20">SUM(C21:C22)</f>
        <v>49038</v>
      </c>
      <c r="D20" s="7">
        <f t="shared" si="3"/>
        <v>42798</v>
      </c>
      <c r="E20" s="7">
        <f t="shared" si="3"/>
        <v>38843</v>
      </c>
      <c r="F20" s="7">
        <f t="shared" si="3"/>
        <v>48191</v>
      </c>
      <c r="G20" s="7">
        <f t="shared" si="3"/>
        <v>57326</v>
      </c>
      <c r="H20" s="7">
        <f t="shared" si="3"/>
        <v>42935</v>
      </c>
    </row>
    <row r="21" spans="2:8" s="2" customFormat="1" ht="11.25">
      <c r="B21" s="2" t="s">
        <v>18</v>
      </c>
      <c r="C21" s="7">
        <v>39476</v>
      </c>
      <c r="D21" s="7">
        <v>34334</v>
      </c>
      <c r="E21" s="7">
        <v>35420</v>
      </c>
      <c r="F21" s="7">
        <v>33474</v>
      </c>
      <c r="G21" s="7">
        <v>44627</v>
      </c>
      <c r="H21" s="7">
        <v>31039</v>
      </c>
    </row>
    <row r="22" spans="2:8" s="2" customFormat="1" ht="11.25">
      <c r="B22" s="2" t="s">
        <v>19</v>
      </c>
      <c r="C22" s="7">
        <v>9562</v>
      </c>
      <c r="D22" s="7">
        <v>8464</v>
      </c>
      <c r="E22" s="7">
        <v>3423</v>
      </c>
      <c r="F22" s="7">
        <v>14717</v>
      </c>
      <c r="G22" s="7">
        <v>12699</v>
      </c>
      <c r="H22" s="7">
        <v>11896</v>
      </c>
    </row>
    <row r="23" spans="1:8" s="2" customFormat="1" ht="11.25">
      <c r="A23" s="3" t="s">
        <v>20</v>
      </c>
      <c r="B23" s="3"/>
      <c r="C23" s="8">
        <v>96937</v>
      </c>
      <c r="D23" s="8">
        <v>94570</v>
      </c>
      <c r="E23" s="8">
        <v>91900</v>
      </c>
      <c r="F23" s="8">
        <v>90799</v>
      </c>
      <c r="G23" s="8">
        <v>80810</v>
      </c>
      <c r="H23" s="8">
        <v>70180</v>
      </c>
    </row>
    <row r="24" spans="1:8" s="2" customFormat="1" ht="11.25">
      <c r="A24" s="5" t="s">
        <v>21</v>
      </c>
      <c r="C24" s="7"/>
      <c r="D24" s="7"/>
      <c r="E24" s="7"/>
      <c r="F24" s="7"/>
      <c r="G24" s="7"/>
      <c r="H24" s="7"/>
    </row>
    <row r="25" spans="1:8" s="2" customFormat="1" ht="11.25">
      <c r="A25" s="2" t="s">
        <v>10</v>
      </c>
      <c r="C25" s="7">
        <f>+(C9+G9)/2</f>
        <v>1153913</v>
      </c>
      <c r="D25" s="7">
        <v>1118527</v>
      </c>
      <c r="E25" s="7">
        <v>1094166</v>
      </c>
      <c r="F25" s="7">
        <v>983323</v>
      </c>
      <c r="G25" s="7">
        <f>(G9+H9)/2</f>
        <v>944564</v>
      </c>
      <c r="H25" s="7">
        <f>(H9+594513)/2</f>
        <v>673820</v>
      </c>
    </row>
    <row r="26" spans="1:8" s="2" customFormat="1" ht="11.25">
      <c r="A26" s="2" t="s">
        <v>22</v>
      </c>
      <c r="C26" s="7">
        <f aca="true" t="shared" si="4" ref="C26:H26">C27+C28</f>
        <v>911643.5</v>
      </c>
      <c r="D26" s="7">
        <f t="shared" si="4"/>
        <v>983336</v>
      </c>
      <c r="E26" s="7">
        <f t="shared" si="4"/>
        <v>936677</v>
      </c>
      <c r="F26" s="7">
        <f t="shared" si="4"/>
        <v>850001</v>
      </c>
      <c r="G26" s="7">
        <f t="shared" si="4"/>
        <v>752102</v>
      </c>
      <c r="H26" s="7">
        <f t="shared" si="4"/>
        <v>539635.5</v>
      </c>
    </row>
    <row r="27" spans="2:8" s="2" customFormat="1" ht="11.25">
      <c r="B27" s="2" t="s">
        <v>12</v>
      </c>
      <c r="C27" s="7">
        <f>+(C11+G11)/2</f>
        <v>628953</v>
      </c>
      <c r="D27" s="7">
        <v>659135</v>
      </c>
      <c r="E27" s="7">
        <v>612011</v>
      </c>
      <c r="F27" s="7">
        <v>589007</v>
      </c>
      <c r="G27" s="7">
        <f>(G11+H11)/2</f>
        <v>499102</v>
      </c>
      <c r="H27" s="7">
        <f>(H11+372058)/2</f>
        <v>399828.5</v>
      </c>
    </row>
    <row r="28" spans="2:8" s="2" customFormat="1" ht="11.25">
      <c r="B28" s="2" t="s">
        <v>15</v>
      </c>
      <c r="C28" s="7">
        <f>+(C14+G14)/2</f>
        <v>282690.5</v>
      </c>
      <c r="D28" s="7">
        <v>324201</v>
      </c>
      <c r="E28" s="7">
        <v>324666</v>
      </c>
      <c r="F28" s="7">
        <v>260994</v>
      </c>
      <c r="G28" s="7">
        <f>(G14+H14)/2</f>
        <v>253000</v>
      </c>
      <c r="H28" s="7">
        <f>(H14+83278)/2</f>
        <v>139807</v>
      </c>
    </row>
    <row r="29" spans="1:8" s="2" customFormat="1" ht="11.25">
      <c r="A29" s="3" t="s">
        <v>20</v>
      </c>
      <c r="B29" s="3"/>
      <c r="C29" s="8">
        <f>+(C23+G23)/2</f>
        <v>88873.5</v>
      </c>
      <c r="D29" s="8">
        <v>87307</v>
      </c>
      <c r="E29" s="8">
        <v>83837</v>
      </c>
      <c r="F29" s="8">
        <v>78302</v>
      </c>
      <c r="G29" s="8">
        <f>(G23+H23)/2</f>
        <v>75495</v>
      </c>
      <c r="H29" s="8">
        <f>(H23+52838)/2</f>
        <v>61509</v>
      </c>
    </row>
    <row r="30" s="2" customFormat="1" ht="11.25">
      <c r="A30" s="5" t="s">
        <v>23</v>
      </c>
    </row>
    <row r="31" spans="1:8" s="2" customFormat="1" ht="11.25">
      <c r="A31" s="2" t="s">
        <v>24</v>
      </c>
      <c r="C31" s="7">
        <v>92468</v>
      </c>
      <c r="D31" s="7">
        <v>67783</v>
      </c>
      <c r="E31" s="7">
        <v>43000</v>
      </c>
      <c r="F31" s="7">
        <v>20717</v>
      </c>
      <c r="G31" s="7">
        <v>65580</v>
      </c>
      <c r="H31" s="7">
        <v>54997</v>
      </c>
    </row>
    <row r="32" spans="1:8" s="2" customFormat="1" ht="11.25">
      <c r="A32" s="2" t="s">
        <v>25</v>
      </c>
      <c r="C32" s="7">
        <v>61880</v>
      </c>
      <c r="D32" s="7">
        <v>44340</v>
      </c>
      <c r="E32" s="7">
        <v>27693</v>
      </c>
      <c r="F32" s="7">
        <v>13306</v>
      </c>
      <c r="G32" s="7">
        <v>42108</v>
      </c>
      <c r="H32" s="7">
        <v>34538</v>
      </c>
    </row>
    <row r="33" spans="1:8" s="2" customFormat="1" ht="11.25">
      <c r="A33" s="2" t="s">
        <v>26</v>
      </c>
      <c r="C33" s="7">
        <f aca="true" t="shared" si="5" ref="C33:H33">C31-C32</f>
        <v>30588</v>
      </c>
      <c r="D33" s="7">
        <f t="shared" si="5"/>
        <v>23443</v>
      </c>
      <c r="E33" s="7">
        <f t="shared" si="5"/>
        <v>15307</v>
      </c>
      <c r="F33" s="7">
        <f t="shared" si="5"/>
        <v>7411</v>
      </c>
      <c r="G33" s="7">
        <f t="shared" si="5"/>
        <v>23472</v>
      </c>
      <c r="H33" s="7">
        <f t="shared" si="5"/>
        <v>20459</v>
      </c>
    </row>
    <row r="34" spans="1:8" s="2" customFormat="1" ht="11.25">
      <c r="A34" s="2" t="s">
        <v>27</v>
      </c>
      <c r="C34" s="7">
        <v>8181</v>
      </c>
      <c r="D34" s="7">
        <v>5202</v>
      </c>
      <c r="E34" s="7">
        <v>3411</v>
      </c>
      <c r="F34" s="7">
        <v>4449</v>
      </c>
      <c r="G34" s="7">
        <v>13998</v>
      </c>
      <c r="H34" s="7">
        <v>13443</v>
      </c>
    </row>
    <row r="35" spans="1:8" s="2" customFormat="1" ht="11.25">
      <c r="A35" s="2" t="s">
        <v>28</v>
      </c>
      <c r="C35" s="7">
        <f aca="true" t="shared" si="6" ref="C35:H35">C33+C34</f>
        <v>38769</v>
      </c>
      <c r="D35" s="7">
        <f t="shared" si="6"/>
        <v>28645</v>
      </c>
      <c r="E35" s="7">
        <f t="shared" si="6"/>
        <v>18718</v>
      </c>
      <c r="F35" s="7">
        <f t="shared" si="6"/>
        <v>11860</v>
      </c>
      <c r="G35" s="7">
        <f t="shared" si="6"/>
        <v>37470</v>
      </c>
      <c r="H35" s="7">
        <f t="shared" si="6"/>
        <v>33902</v>
      </c>
    </row>
    <row r="36" spans="1:8" s="2" customFormat="1" ht="11.25">
      <c r="A36" s="2" t="s">
        <v>29</v>
      </c>
      <c r="C36" s="7">
        <v>17866</v>
      </c>
      <c r="D36" s="7">
        <v>13317</v>
      </c>
      <c r="E36" s="7">
        <v>8052</v>
      </c>
      <c r="F36" s="7">
        <v>3847</v>
      </c>
      <c r="G36" s="7">
        <v>20445</v>
      </c>
      <c r="H36" s="7">
        <v>19537</v>
      </c>
    </row>
    <row r="37" spans="1:8" s="2" customFormat="1" ht="11.25">
      <c r="A37" s="2" t="s">
        <v>30</v>
      </c>
      <c r="C37" s="7">
        <f aca="true" t="shared" si="7" ref="C37:H37">C35-C36</f>
        <v>20903</v>
      </c>
      <c r="D37" s="7">
        <f t="shared" si="7"/>
        <v>15328</v>
      </c>
      <c r="E37" s="7">
        <f t="shared" si="7"/>
        <v>10666</v>
      </c>
      <c r="F37" s="7">
        <f t="shared" si="7"/>
        <v>8013</v>
      </c>
      <c r="G37" s="7">
        <f t="shared" si="7"/>
        <v>17025</v>
      </c>
      <c r="H37" s="7">
        <f t="shared" si="7"/>
        <v>14365</v>
      </c>
    </row>
    <row r="38" spans="1:8" s="2" customFormat="1" ht="11.25">
      <c r="A38" s="3" t="s">
        <v>31</v>
      </c>
      <c r="B38" s="3"/>
      <c r="C38" s="8">
        <v>16438</v>
      </c>
      <c r="D38" s="8">
        <v>12853</v>
      </c>
      <c r="E38" s="8">
        <v>9016</v>
      </c>
      <c r="F38" s="8">
        <v>6663</v>
      </c>
      <c r="G38" s="8">
        <v>12225</v>
      </c>
      <c r="H38" s="8">
        <v>9406</v>
      </c>
    </row>
    <row r="39" s="2" customFormat="1" ht="11.25">
      <c r="A39" s="5" t="s">
        <v>32</v>
      </c>
    </row>
    <row r="40" spans="1:8" s="2" customFormat="1" ht="11.25">
      <c r="A40" s="2" t="s">
        <v>33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s="2" customFormat="1" ht="11.25">
      <c r="A41" s="2" t="s">
        <v>34</v>
      </c>
      <c r="C41" s="7">
        <v>11019</v>
      </c>
      <c r="D41" s="7">
        <v>11023</v>
      </c>
      <c r="E41" s="7">
        <v>7207</v>
      </c>
      <c r="F41" s="7">
        <v>8607</v>
      </c>
      <c r="G41" s="7">
        <v>7038</v>
      </c>
      <c r="H41" s="7">
        <v>5571</v>
      </c>
    </row>
    <row r="42" spans="1:8" s="2" customFormat="1" ht="11.25">
      <c r="A42" s="2" t="s">
        <v>35</v>
      </c>
      <c r="C42" s="9">
        <f aca="true" t="shared" si="8" ref="C42:H42">C40/C11</f>
        <v>0</v>
      </c>
      <c r="D42" s="9">
        <f t="shared" si="8"/>
        <v>0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</row>
    <row r="43" spans="1:8" s="2" customFormat="1" ht="11.25">
      <c r="A43" s="2" t="s">
        <v>36</v>
      </c>
      <c r="C43" s="9">
        <f aca="true" t="shared" si="9" ref="C43:H43">C41/C11</f>
        <v>0.016032276979081946</v>
      </c>
      <c r="D43" s="9">
        <f t="shared" si="9"/>
        <v>0.0165332269415255</v>
      </c>
      <c r="E43" s="9">
        <f t="shared" si="9"/>
        <v>0.011346461453203522</v>
      </c>
      <c r="F43" s="9">
        <f t="shared" si="9"/>
        <v>0.014033068280570061</v>
      </c>
      <c r="G43" s="9">
        <f t="shared" si="9"/>
        <v>0.012334276776403993</v>
      </c>
      <c r="H43" s="9">
        <f t="shared" si="9"/>
        <v>0.013028561806739492</v>
      </c>
    </row>
    <row r="44" spans="1:8" s="2" customFormat="1" ht="11.25">
      <c r="A44" s="10" t="s">
        <v>37</v>
      </c>
      <c r="C44" s="9">
        <f aca="true" t="shared" si="10" ref="C44:H44">(C40+C41)/C11</f>
        <v>0.016032276979081946</v>
      </c>
      <c r="D44" s="9">
        <f t="shared" si="10"/>
        <v>0.0165332269415255</v>
      </c>
      <c r="E44" s="9">
        <f t="shared" si="10"/>
        <v>0.011346461453203522</v>
      </c>
      <c r="F44" s="9">
        <f t="shared" si="10"/>
        <v>0.014033068280570061</v>
      </c>
      <c r="G44" s="9">
        <f t="shared" si="10"/>
        <v>0.012334276776403993</v>
      </c>
      <c r="H44" s="9">
        <f t="shared" si="10"/>
        <v>0.013028561806739492</v>
      </c>
    </row>
    <row r="45" spans="1:8" s="2" customFormat="1" ht="11.25">
      <c r="A45" s="2" t="s">
        <v>38</v>
      </c>
      <c r="C45" s="9">
        <v>0.0198</v>
      </c>
      <c r="D45" s="9">
        <v>0.0201</v>
      </c>
      <c r="E45" s="9">
        <v>0.0196</v>
      </c>
      <c r="F45" s="9">
        <v>0.0199</v>
      </c>
      <c r="G45" s="9">
        <v>0.0191</v>
      </c>
      <c r="H45" s="9">
        <v>0.0155</v>
      </c>
    </row>
    <row r="46" spans="1:8" s="2" customFormat="1" ht="11.25">
      <c r="A46" s="3" t="s">
        <v>39</v>
      </c>
      <c r="B46" s="3"/>
      <c r="C46" s="11">
        <v>1.2329</v>
      </c>
      <c r="D46" s="11">
        <v>1.1342</v>
      </c>
      <c r="E46" s="11">
        <v>1.7315</v>
      </c>
      <c r="F46" s="11">
        <v>1.4184</v>
      </c>
      <c r="G46" s="11">
        <v>1.5471</v>
      </c>
      <c r="H46" s="11">
        <v>1.1908</v>
      </c>
    </row>
    <row r="47" s="2" customFormat="1" ht="11.25">
      <c r="A47" s="5" t="s">
        <v>40</v>
      </c>
    </row>
    <row r="48" spans="1:8" s="2" customFormat="1" ht="11.25">
      <c r="A48" s="2" t="s">
        <v>41</v>
      </c>
      <c r="C48" s="9">
        <f aca="true" t="shared" si="11" ref="C48:H48">C23/(C11+C14)</f>
        <v>0.10279443234381529</v>
      </c>
      <c r="D48" s="9">
        <f t="shared" si="11"/>
        <v>0.09214789264190747</v>
      </c>
      <c r="E48" s="9">
        <f t="shared" si="11"/>
        <v>0.09284141191683673</v>
      </c>
      <c r="F48" s="9">
        <f t="shared" si="11"/>
        <v>0.09755665170709904</v>
      </c>
      <c r="G48" s="9">
        <f t="shared" si="11"/>
        <v>0.09180148341018485</v>
      </c>
      <c r="H48" s="9">
        <f t="shared" si="11"/>
        <v>0.11247966534975598</v>
      </c>
    </row>
    <row r="49" spans="1:8" s="2" customFormat="1" ht="11.25">
      <c r="A49" s="3" t="s">
        <v>42</v>
      </c>
      <c r="B49" s="3"/>
      <c r="C49" s="11">
        <f aca="true" t="shared" si="12" ref="C49:H49">C23/C11</f>
        <v>0.1410400974245636</v>
      </c>
      <c r="D49" s="11">
        <f t="shared" si="12"/>
        <v>0.14184407800599355</v>
      </c>
      <c r="E49" s="11">
        <f t="shared" si="12"/>
        <v>0.14468430797133394</v>
      </c>
      <c r="F49" s="11">
        <f t="shared" si="12"/>
        <v>0.14804096279859197</v>
      </c>
      <c r="G49" s="11">
        <f t="shared" si="12"/>
        <v>0.14162161214850905</v>
      </c>
      <c r="H49" s="11">
        <f t="shared" si="12"/>
        <v>0.16412573462519792</v>
      </c>
    </row>
    <row r="50" s="2" customFormat="1" ht="11.25">
      <c r="A50" s="5" t="s">
        <v>43</v>
      </c>
    </row>
    <row r="51" spans="1:8" s="2" customFormat="1" ht="11.25">
      <c r="A51" s="2" t="s">
        <v>44</v>
      </c>
      <c r="C51" s="12">
        <f aca="true" t="shared" si="13" ref="C51:H51">C10/C15</f>
        <v>0.260445561287139</v>
      </c>
      <c r="D51" s="12">
        <f t="shared" si="13"/>
        <v>0.21459224891812567</v>
      </c>
      <c r="E51" s="12">
        <f t="shared" si="13"/>
        <v>0.21583488150654248</v>
      </c>
      <c r="F51" s="12">
        <f t="shared" si="13"/>
        <v>0.20809831751073232</v>
      </c>
      <c r="G51" s="12">
        <f t="shared" si="13"/>
        <v>0.2454848514560251</v>
      </c>
      <c r="H51" s="12">
        <f t="shared" si="13"/>
        <v>0.22268237693357265</v>
      </c>
    </row>
    <row r="52" spans="1:8" s="2" customFormat="1" ht="11.25">
      <c r="A52" s="2" t="s">
        <v>45</v>
      </c>
      <c r="C52" s="12">
        <f aca="true" t="shared" si="14" ref="C52:H52">C10/C9</f>
        <v>0.15584238260832461</v>
      </c>
      <c r="D52" s="12">
        <f t="shared" si="14"/>
        <v>0.10705596835601282</v>
      </c>
      <c r="E52" s="12">
        <f t="shared" si="14"/>
        <v>0.10507731273744939</v>
      </c>
      <c r="F52" s="12">
        <f t="shared" si="14"/>
        <v>0.10551984113627949</v>
      </c>
      <c r="G52" s="12">
        <f t="shared" si="14"/>
        <v>0.13223755965003553</v>
      </c>
      <c r="H52" s="12">
        <f t="shared" si="14"/>
        <v>0.14150601425788745</v>
      </c>
    </row>
    <row r="53" spans="1:8" s="2" customFormat="1" ht="11.25">
      <c r="A53" s="3" t="s">
        <v>46</v>
      </c>
      <c r="B53" s="3"/>
      <c r="C53" s="13">
        <f aca="true" t="shared" si="15" ref="C53:H53">(C10+C14)/C15</f>
        <v>0.6251392289887233</v>
      </c>
      <c r="D53" s="13">
        <f t="shared" si="15"/>
        <v>0.7541294287823587</v>
      </c>
      <c r="E53" s="13">
        <f t="shared" si="15"/>
        <v>0.7853549504878954</v>
      </c>
      <c r="F53" s="13">
        <f t="shared" si="15"/>
        <v>0.7347893113227429</v>
      </c>
      <c r="G53" s="13">
        <f t="shared" si="15"/>
        <v>0.7515213909860444</v>
      </c>
      <c r="H53" s="13">
        <f t="shared" si="15"/>
        <v>0.6329267859493547</v>
      </c>
    </row>
    <row r="54" s="2" customFormat="1" ht="11.25">
      <c r="A54" s="5" t="s">
        <v>47</v>
      </c>
    </row>
    <row r="55" spans="1:8" s="2" customFormat="1" ht="11.25">
      <c r="A55" s="2" t="s">
        <v>48</v>
      </c>
      <c r="C55" s="9">
        <f>(C38)/C26</f>
        <v>0.01803117117601343</v>
      </c>
      <c r="D55" s="9">
        <f>((D38)/0.75)/D26</f>
        <v>0.01742774934847634</v>
      </c>
      <c r="E55" s="9">
        <f>((E38)/0.5)/E26</f>
        <v>0.01925103317365538</v>
      </c>
      <c r="F55" s="9">
        <f>((F38)/0.25)/F26</f>
        <v>0.03135525722910914</v>
      </c>
      <c r="G55" s="9">
        <f>G38/G26</f>
        <v>0.01625444421102457</v>
      </c>
      <c r="H55" s="9">
        <f>H38/H26</f>
        <v>0.017430283960191646</v>
      </c>
    </row>
    <row r="56" spans="1:8" s="2" customFormat="1" ht="11.25">
      <c r="A56" s="2" t="s">
        <v>49</v>
      </c>
      <c r="C56" s="9">
        <f>(C38)/C25</f>
        <v>0.014245441380762674</v>
      </c>
      <c r="D56" s="9">
        <f>((D38)/0.75)/D25</f>
        <v>0.015321340775263656</v>
      </c>
      <c r="E56" s="9">
        <f>((E38)/0.5)/E25</f>
        <v>0.016480131899547234</v>
      </c>
      <c r="F56" s="9">
        <f>((F38)/0.25)/F25</f>
        <v>0.027104013635397526</v>
      </c>
      <c r="G56" s="9">
        <f>G38/G25</f>
        <v>0.012942479281446255</v>
      </c>
      <c r="H56" s="9">
        <f>H38/H25</f>
        <v>0.013959217595203468</v>
      </c>
    </row>
    <row r="57" spans="1:8" s="2" customFormat="1" ht="11.25">
      <c r="A57" s="2" t="s">
        <v>50</v>
      </c>
      <c r="C57" s="9">
        <f>(C38)/C29</f>
        <v>0.1849595211170934</v>
      </c>
      <c r="D57" s="9">
        <f>((D38)/0.75)/D29</f>
        <v>0.19628819376835</v>
      </c>
      <c r="E57" s="9">
        <f>((E38)/0.5)/E29</f>
        <v>0.2150840321099276</v>
      </c>
      <c r="F57" s="9">
        <f>((F38)/0.25)/F29</f>
        <v>0.340374447651401</v>
      </c>
      <c r="G57" s="9">
        <f>G38/G29</f>
        <v>0.16193125372541228</v>
      </c>
      <c r="H57" s="9">
        <f>H38/H29</f>
        <v>0.15292071079029085</v>
      </c>
    </row>
    <row r="58" spans="1:8" s="2" customFormat="1" ht="11.25">
      <c r="A58" s="2" t="s">
        <v>51</v>
      </c>
      <c r="C58" s="9">
        <f>(C31)/C25</f>
        <v>0.08013429088674796</v>
      </c>
      <c r="D58" s="9">
        <f>((D31)/0.75)/D25</f>
        <v>0.08080031446119167</v>
      </c>
      <c r="E58" s="9">
        <f>((E31)/0.5)/E25</f>
        <v>0.07859867698319999</v>
      </c>
      <c r="F58" s="9">
        <f>((F31)/0.25)/F25</f>
        <v>0.08427342795805651</v>
      </c>
      <c r="G58" s="9">
        <f>G31/G25</f>
        <v>0.06942885818218776</v>
      </c>
      <c r="H58" s="9">
        <f>H31/H25</f>
        <v>0.08161972040010686</v>
      </c>
    </row>
    <row r="59" spans="1:8" s="2" customFormat="1" ht="11.25">
      <c r="A59" s="2" t="s">
        <v>52</v>
      </c>
      <c r="C59" s="9">
        <f>(C32)/C25</f>
        <v>0.05362622658727304</v>
      </c>
      <c r="D59" s="9">
        <f>((D32)/0.75)/D25</f>
        <v>0.052855228349427415</v>
      </c>
      <c r="E59" s="9">
        <f>((E32)/0.5)/E25</f>
        <v>0.05061937585338971</v>
      </c>
      <c r="F59" s="9">
        <f>((F32)/0.25)/F25</f>
        <v>0.05412667048365593</v>
      </c>
      <c r="G59" s="9">
        <f>G32/G25</f>
        <v>0.044579297961810954</v>
      </c>
      <c r="H59" s="9">
        <f>H32/H25</f>
        <v>0.051257012258466655</v>
      </c>
    </row>
    <row r="60" spans="1:8" s="2" customFormat="1" ht="11.25">
      <c r="A60" s="2" t="s">
        <v>53</v>
      </c>
      <c r="C60" s="9">
        <f>(C33)/C25</f>
        <v>0.02650806429947492</v>
      </c>
      <c r="D60" s="9">
        <f>((D33)/0.75)/D25</f>
        <v>0.02794508611176425</v>
      </c>
      <c r="E60" s="9">
        <f>((E33)/0.5)/E25</f>
        <v>0.027979301129810286</v>
      </c>
      <c r="F60" s="9">
        <f>((F33)/0.25)/F25</f>
        <v>0.030146757474400578</v>
      </c>
      <c r="G60" s="9">
        <f>G33/G25</f>
        <v>0.02484956022037681</v>
      </c>
      <c r="H60" s="9">
        <f>H33/H25</f>
        <v>0.0303627081416402</v>
      </c>
    </row>
    <row r="61" spans="1:8" s="2" customFormat="1" ht="11.25">
      <c r="A61" s="2" t="s">
        <v>54</v>
      </c>
      <c r="C61" s="9">
        <f>(C36)/(C35)</f>
        <v>0.46083210812762776</v>
      </c>
      <c r="D61" s="9">
        <f>((D36)/0.75)/((D35)/0.75)</f>
        <v>0.4648978879385582</v>
      </c>
      <c r="E61" s="9">
        <f>((E36)/0.5)/((E35)/0.5)</f>
        <v>0.43017416390640023</v>
      </c>
      <c r="F61" s="9">
        <f>(F36/0.25)/(F35/0.25)</f>
        <v>0.32436762225969645</v>
      </c>
      <c r="G61" s="9">
        <f>G36/G35</f>
        <v>0.5456365092073658</v>
      </c>
      <c r="H61" s="9">
        <f>H36/H35</f>
        <v>0.5762786856232671</v>
      </c>
    </row>
    <row r="62" spans="1:8" s="2" customFormat="1" ht="11.25">
      <c r="A62" s="3" t="s">
        <v>55</v>
      </c>
      <c r="B62" s="3"/>
      <c r="C62" s="11">
        <f>(C34)/C25</f>
        <v>0.0070897892648752545</v>
      </c>
      <c r="D62" s="11">
        <f>((D34)/0.75)/D25</f>
        <v>0.006201012581725788</v>
      </c>
      <c r="E62" s="11">
        <f>((E34)/0.5)/E25</f>
        <v>0.006234885748597562</v>
      </c>
      <c r="F62" s="11">
        <f>(F34/0.255)/F25</f>
        <v>0.017742958136369648</v>
      </c>
      <c r="G62" s="11">
        <f>G34/G25</f>
        <v>0.014819535785822877</v>
      </c>
      <c r="H62" s="11">
        <f>H34/H25</f>
        <v>0.019950431866076992</v>
      </c>
    </row>
    <row r="63" s="2" customFormat="1" ht="11.25">
      <c r="A63" s="5" t="s">
        <v>56</v>
      </c>
    </row>
    <row r="64" spans="1:8" s="2" customFormat="1" ht="11.25">
      <c r="A64" s="2" t="s">
        <v>57</v>
      </c>
      <c r="C64" s="7">
        <v>503</v>
      </c>
      <c r="D64" s="7">
        <v>501</v>
      </c>
      <c r="E64" s="7">
        <v>509</v>
      </c>
      <c r="F64" s="7">
        <v>482</v>
      </c>
      <c r="G64" s="7">
        <v>486</v>
      </c>
      <c r="H64" s="7">
        <v>307</v>
      </c>
    </row>
    <row r="65" spans="1:8" s="2" customFormat="1" ht="11.25">
      <c r="A65" s="2" t="s">
        <v>58</v>
      </c>
      <c r="C65" s="7">
        <v>7</v>
      </c>
      <c r="D65" s="7">
        <v>7</v>
      </c>
      <c r="E65" s="7">
        <v>7</v>
      </c>
      <c r="F65" s="7">
        <v>7</v>
      </c>
      <c r="G65" s="7">
        <v>7</v>
      </c>
      <c r="H65" s="7">
        <v>7</v>
      </c>
    </row>
    <row r="66" spans="1:8" s="2" customFormat="1" ht="11.25">
      <c r="A66" s="2" t="s">
        <v>59</v>
      </c>
      <c r="C66" s="7">
        <f aca="true" t="shared" si="16" ref="C66:H66">C11/C64</f>
        <v>1366.403578528827</v>
      </c>
      <c r="D66" s="7">
        <f t="shared" si="16"/>
        <v>1330.7744510978043</v>
      </c>
      <c r="E66" s="7">
        <f t="shared" si="16"/>
        <v>1247.8899803536347</v>
      </c>
      <c r="F66" s="7">
        <f t="shared" si="16"/>
        <v>1272.4834024896265</v>
      </c>
      <c r="G66" s="7">
        <f t="shared" si="16"/>
        <v>1174.0843621399176</v>
      </c>
      <c r="H66" s="7">
        <f t="shared" si="16"/>
        <v>1392.8306188925083</v>
      </c>
    </row>
    <row r="67" spans="1:8" s="2" customFormat="1" ht="11.25">
      <c r="A67" s="2" t="s">
        <v>60</v>
      </c>
      <c r="C67" s="7">
        <f aca="true" t="shared" si="17" ref="C67:H67">C15/C64</f>
        <v>1394.0019880715706</v>
      </c>
      <c r="D67" s="7">
        <f t="shared" si="17"/>
        <v>1330.2115768463075</v>
      </c>
      <c r="E67" s="7">
        <f t="shared" si="17"/>
        <v>1223.5304518664047</v>
      </c>
      <c r="F67" s="7">
        <f t="shared" si="17"/>
        <v>1250.246887966805</v>
      </c>
      <c r="G67" s="7">
        <f t="shared" si="17"/>
        <v>1259.1358024691358</v>
      </c>
      <c r="H67" s="7">
        <f t="shared" si="17"/>
        <v>1558.902280130293</v>
      </c>
    </row>
    <row r="68" spans="1:8" s="2" customFormat="1" ht="11.25">
      <c r="A68" s="3" t="s">
        <v>61</v>
      </c>
      <c r="B68" s="3"/>
      <c r="C68" s="8">
        <f aca="true" t="shared" si="18" ref="C68:H68">C38/C64</f>
        <v>32.67992047713717</v>
      </c>
      <c r="D68" s="8">
        <f t="shared" si="18"/>
        <v>25.654690618762476</v>
      </c>
      <c r="E68" s="8">
        <f t="shared" si="18"/>
        <v>17.713163064833005</v>
      </c>
      <c r="F68" s="8">
        <f t="shared" si="18"/>
        <v>13.823651452282158</v>
      </c>
      <c r="G68" s="8">
        <f t="shared" si="18"/>
        <v>25.15432098765432</v>
      </c>
      <c r="H68" s="8">
        <f t="shared" si="18"/>
        <v>30.63843648208469</v>
      </c>
    </row>
    <row r="69" s="2" customFormat="1" ht="11.25">
      <c r="A69" s="5" t="s">
        <v>62</v>
      </c>
    </row>
    <row r="70" spans="1:8" s="2" customFormat="1" ht="11.25">
      <c r="A70" s="2" t="s">
        <v>63</v>
      </c>
      <c r="C70" s="9">
        <f>(C9-G9)/G9</f>
        <v>0.031535183507760994</v>
      </c>
      <c r="D70" s="9">
        <f>(D9-901192)/E9</f>
        <v>0.33979299885867953</v>
      </c>
      <c r="E70" s="9">
        <f>(E9-909112)/909112</f>
        <v>0.40710935506296253</v>
      </c>
      <c r="F70" s="9">
        <f>(F9-782725)/782725</f>
        <v>0.5183365805359481</v>
      </c>
      <c r="G70" s="9">
        <f>(G9-H9)/H9</f>
        <v>0.5083790648854708</v>
      </c>
      <c r="H70" s="9">
        <f>(H9-594513)/594513</f>
        <v>0.26679652084983846</v>
      </c>
    </row>
    <row r="71" spans="1:8" s="2" customFormat="1" ht="11.25">
      <c r="A71" s="2" t="s">
        <v>64</v>
      </c>
      <c r="C71" s="9">
        <f>(C11-G11)/G11</f>
        <v>0.20451275400671218</v>
      </c>
      <c r="D71" s="9">
        <f>D11/530333-1</f>
        <v>0.25716860915688833</v>
      </c>
      <c r="E71" s="9">
        <f>E11/480712-1</f>
        <v>0.3213233703340046</v>
      </c>
      <c r="F71" s="9">
        <f>F11/466686-1</f>
        <v>0.31423912437913293</v>
      </c>
      <c r="G71" s="9">
        <f>(G11-H11)/H11</f>
        <v>0.33443950991466304</v>
      </c>
      <c r="H71" s="9">
        <f>(H11-372057)/372057</f>
        <v>0.1492835775163483</v>
      </c>
    </row>
    <row r="72" spans="2:8" s="2" customFormat="1" ht="11.25">
      <c r="B72" s="2" t="s">
        <v>13</v>
      </c>
      <c r="C72" s="9">
        <f>(C12-G12)/G12</f>
        <v>0.17657474937454185</v>
      </c>
      <c r="D72" s="9">
        <f>D12/494547-1</f>
        <v>0.2107484222935332</v>
      </c>
      <c r="E72" s="9">
        <f>E12/445535-1</f>
        <v>0.28118778547139955</v>
      </c>
      <c r="F72" s="9">
        <f>F12/438436-1</f>
        <v>0.2623073835177767</v>
      </c>
      <c r="G72" s="9">
        <f>(G12-H12)/H12</f>
        <v>0.3107983131580371</v>
      </c>
      <c r="H72" s="9">
        <f>(H12-324864)/324864</f>
        <v>0.19490309791174154</v>
      </c>
    </row>
    <row r="73" spans="2:8" s="2" customFormat="1" ht="11.25">
      <c r="B73" s="2" t="s">
        <v>14</v>
      </c>
      <c r="C73" s="9">
        <f>(C13-G13)/G13</f>
        <v>0.43462073877432095</v>
      </c>
      <c r="D73" s="9">
        <f>D13/35786-1</f>
        <v>0.8986754596769686</v>
      </c>
      <c r="E73" s="9">
        <f>E13/35177-1</f>
        <v>0.82966142650027</v>
      </c>
      <c r="F73" s="9">
        <f>F13/28249-1</f>
        <v>1.1202874438033206</v>
      </c>
      <c r="G73" s="9">
        <f>(G13-H13)/H13</f>
        <v>0.5672535389923385</v>
      </c>
      <c r="H73" s="9">
        <f>(H13-47228)/47228</f>
        <v>-0.16536800203269247</v>
      </c>
    </row>
    <row r="74" spans="1:8" s="2" customFormat="1" ht="11.25">
      <c r="A74" s="2" t="s">
        <v>65</v>
      </c>
      <c r="C74" s="9">
        <f>(C15-G15)/G15</f>
        <v>0.1458361930908259</v>
      </c>
      <c r="D74" s="9">
        <f>D15/536239-1</f>
        <v>0.24279658883445632</v>
      </c>
      <c r="E74" s="9">
        <f>E15/552794-1</f>
        <v>0.1265986968020636</v>
      </c>
      <c r="F74" s="9">
        <f>F15/472571-1</f>
        <v>0.27519251075499773</v>
      </c>
      <c r="G74" s="9">
        <f>(G15-H15)/H15</f>
        <v>0.2786496804107125</v>
      </c>
      <c r="H74" s="9">
        <f>(H15-404981)/404981</f>
        <v>0.18174185949464297</v>
      </c>
    </row>
    <row r="75" spans="2:8" s="2" customFormat="1" ht="11.25">
      <c r="B75" s="2" t="s">
        <v>13</v>
      </c>
      <c r="C75" s="9">
        <f>(C16-G6)/G16</f>
        <v>1.1758538370830884</v>
      </c>
      <c r="D75" s="9">
        <f>D16/486166-1</f>
        <v>0.28276761435394504</v>
      </c>
      <c r="E75" s="9">
        <f>E16/499558-1</f>
        <v>0.1689013087569411</v>
      </c>
      <c r="F75" s="9">
        <f>F16/424967-1</f>
        <v>0.3046377718740514</v>
      </c>
      <c r="G75" s="9">
        <f>(G16-H16)/H16</f>
        <v>0.2730782650213016</v>
      </c>
      <c r="H75" s="9">
        <f>(H16-352503)/352503</f>
        <v>0.2358703330184424</v>
      </c>
    </row>
    <row r="76" spans="2:8" s="2" customFormat="1" ht="11.25">
      <c r="B76" s="2" t="s">
        <v>14</v>
      </c>
      <c r="C76" s="9">
        <f>(C20-G20)/G20</f>
        <v>-0.14457663189477724</v>
      </c>
      <c r="D76" s="9">
        <f>D20/50073-1</f>
        <v>-0.14528787969564438</v>
      </c>
      <c r="E76" s="9">
        <f>E20/53236-1</f>
        <v>-0.27036216094372234</v>
      </c>
      <c r="F76" s="9">
        <f>F20/47603-1</f>
        <v>0.012352162678822776</v>
      </c>
      <c r="G76" s="9">
        <f>(G20-H20)/H20</f>
        <v>0.3351810876906952</v>
      </c>
      <c r="H76" s="9">
        <f>(H20-52478)/52478</f>
        <v>-0.18184763138839133</v>
      </c>
    </row>
    <row r="77" spans="1:8" s="2" customFormat="1" ht="11.25">
      <c r="A77" s="2" t="s">
        <v>66</v>
      </c>
      <c r="C77" s="9">
        <f>(C23-G23)/G23</f>
        <v>0.19956688528647445</v>
      </c>
      <c r="D77" s="9">
        <f>(D23-80043)/80043</f>
        <v>0.18148994915233063</v>
      </c>
      <c r="E77" s="9">
        <f>(E23-75776)/75776</f>
        <v>0.21278505067567569</v>
      </c>
      <c r="F77" s="9">
        <f>(F23-70334)/70334</f>
        <v>0.29096880598288166</v>
      </c>
      <c r="G77" s="9">
        <f>(G23-H23)/H23</f>
        <v>0.15146765460245085</v>
      </c>
      <c r="H77" s="9">
        <f>(H23-52838)/52838</f>
        <v>0.32821075740944017</v>
      </c>
    </row>
    <row r="78" spans="1:8" s="2" customFormat="1" ht="11.25">
      <c r="A78" s="3" t="s">
        <v>67</v>
      </c>
      <c r="B78" s="3"/>
      <c r="C78" s="11">
        <f>C38/G38-1</f>
        <v>0.3446216768916155</v>
      </c>
      <c r="D78" s="11">
        <f>D38/10208-1</f>
        <v>0.259110501567398</v>
      </c>
      <c r="E78" s="11">
        <f>E38/5913-1</f>
        <v>0.5247759174699813</v>
      </c>
      <c r="F78" s="11">
        <f>F38/2415-1</f>
        <v>1.7590062111801243</v>
      </c>
      <c r="G78" s="11">
        <f>(G38-H38)/H38</f>
        <v>0.2997023176695726</v>
      </c>
      <c r="H78" s="11">
        <f>(H38-5931)/5931</f>
        <v>0.5859045692126117</v>
      </c>
    </row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2002-05-02T16:08:35Z</cp:lastPrinted>
  <dcterms:created xsi:type="dcterms:W3CDTF">2002-03-08T15:10:31Z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