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asatlántic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<sst xmlns="http://schemas.openxmlformats.org/spreadsheetml/2006/main" count="80" uniqueCount="68">
  <si>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18-5   BANCO TRASATLANTICO,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</si>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</sst>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2.421875" style="1" customWidth="1"/>
    <col min="2" max="2" width="36.8515625" style="1" customWidth="1"/>
    <col min="3" max="3" width="10.7109375" style="1" customWidth="1"/>
    <col min="4" max="6" width="9.8515625" style="1" customWidth="1"/>
    <col min="7" max="7" width="11.00390625" style="1" customWidth="1"/>
    <col min="8" max="8" width="11.421875" style="1" customWidth="1"/>
    <col min="9" max="16384" width="9.851562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15"/>
      <c r="B7" s="15"/>
      <c r="C7" s="15"/>
      <c r="D7" s="15"/>
      <c r="E7" s="15"/>
      <c r="F7" s="15"/>
      <c r="G7" s="15"/>
      <c r="H7" s="15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149571</v>
      </c>
      <c r="D10" s="7">
        <v>157618</v>
      </c>
      <c r="E10" s="7">
        <v>137941</v>
      </c>
      <c r="F10" s="7">
        <v>138222</v>
      </c>
      <c r="G10" s="7">
        <v>134058</v>
      </c>
      <c r="H10" s="7">
        <v>130971</v>
      </c>
    </row>
    <row r="11" spans="1:8" ht="11.25">
      <c r="A11" s="6" t="s">
        <v>11</v>
      </c>
      <c r="B11" s="6"/>
      <c r="C11" s="7">
        <v>17755</v>
      </c>
      <c r="D11" s="7">
        <v>29480</v>
      </c>
      <c r="E11" s="7">
        <v>34301</v>
      </c>
      <c r="F11" s="7">
        <v>30643</v>
      </c>
      <c r="G11" s="7">
        <v>35662</v>
      </c>
      <c r="H11" s="7">
        <v>33646</v>
      </c>
    </row>
    <row r="12" spans="1:8" ht="11.25">
      <c r="A12" s="6" t="s">
        <v>12</v>
      </c>
      <c r="B12" s="6"/>
      <c r="C12" s="7">
        <f aca="true" t="shared" si="0" ref="C12:H12">C13+C14</f>
        <v>64329</v>
      </c>
      <c r="D12" s="7">
        <f t="shared" si="0"/>
        <v>63240</v>
      </c>
      <c r="E12" s="7">
        <f t="shared" si="0"/>
        <v>61666</v>
      </c>
      <c r="F12" s="7">
        <f t="shared" si="0"/>
        <v>59513</v>
      </c>
      <c r="G12" s="7">
        <f t="shared" si="0"/>
        <v>57825</v>
      </c>
      <c r="H12" s="7">
        <f t="shared" si="0"/>
        <v>62126</v>
      </c>
    </row>
    <row r="13" spans="1:8" ht="11.25">
      <c r="A13" s="6"/>
      <c r="B13" s="6" t="s">
        <v>13</v>
      </c>
      <c r="C13" s="7">
        <v>48333</v>
      </c>
      <c r="D13" s="7">
        <v>46969</v>
      </c>
      <c r="E13" s="7">
        <v>45612</v>
      </c>
      <c r="F13" s="7">
        <v>43500</v>
      </c>
      <c r="G13" s="7">
        <v>41822</v>
      </c>
      <c r="H13" s="7">
        <v>45802</v>
      </c>
    </row>
    <row r="14" spans="1:8" ht="11.25">
      <c r="A14" s="6"/>
      <c r="B14" s="6" t="s">
        <v>14</v>
      </c>
      <c r="C14" s="7">
        <v>15996</v>
      </c>
      <c r="D14" s="7">
        <v>16271</v>
      </c>
      <c r="E14" s="7">
        <v>16054</v>
      </c>
      <c r="F14" s="7">
        <v>16013</v>
      </c>
      <c r="G14" s="7">
        <v>16003</v>
      </c>
      <c r="H14" s="7">
        <v>16324</v>
      </c>
    </row>
    <row r="15" spans="1:8" ht="11.25">
      <c r="A15" s="6" t="s">
        <v>15</v>
      </c>
      <c r="B15" s="6"/>
      <c r="C15" s="7">
        <v>63010</v>
      </c>
      <c r="D15" s="7">
        <v>63653</v>
      </c>
      <c r="E15" s="7">
        <v>38449</v>
      </c>
      <c r="F15" s="7">
        <v>40326</v>
      </c>
      <c r="G15" s="7">
        <v>37393</v>
      </c>
      <c r="H15" s="7">
        <v>32955</v>
      </c>
    </row>
    <row r="16" spans="1:8" ht="11.25">
      <c r="A16" s="6" t="s">
        <v>16</v>
      </c>
      <c r="B16" s="6"/>
      <c r="C16" s="7">
        <f aca="true" t="shared" si="1" ref="C16:H16">C17+C21</f>
        <v>119459</v>
      </c>
      <c r="D16" s="7">
        <f t="shared" si="1"/>
        <v>127223</v>
      </c>
      <c r="E16" s="7">
        <f t="shared" si="1"/>
        <v>108801</v>
      </c>
      <c r="F16" s="7">
        <f t="shared" si="1"/>
        <v>106312</v>
      </c>
      <c r="G16" s="7">
        <f t="shared" si="1"/>
        <v>105081</v>
      </c>
      <c r="H16" s="7">
        <f t="shared" si="1"/>
        <v>106383</v>
      </c>
    </row>
    <row r="17" spans="1:8" ht="11.25">
      <c r="A17" s="6"/>
      <c r="B17" s="6" t="s">
        <v>13</v>
      </c>
      <c r="C17" s="7">
        <f aca="true" t="shared" si="2" ref="C17:H17">SUM(C18:C20)</f>
        <v>93736</v>
      </c>
      <c r="D17" s="7">
        <f t="shared" si="2"/>
        <v>98533</v>
      </c>
      <c r="E17" s="7">
        <f t="shared" si="2"/>
        <v>80599</v>
      </c>
      <c r="F17" s="7">
        <f t="shared" si="2"/>
        <v>77643</v>
      </c>
      <c r="G17" s="7">
        <f t="shared" si="2"/>
        <v>76751</v>
      </c>
      <c r="H17" s="7">
        <f t="shared" si="2"/>
        <v>75262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62571</v>
      </c>
      <c r="D19" s="7">
        <v>61958</v>
      </c>
      <c r="E19" s="7">
        <v>61202</v>
      </c>
      <c r="F19" s="7">
        <v>61186</v>
      </c>
      <c r="G19" s="7">
        <v>57858</v>
      </c>
      <c r="H19" s="7">
        <v>63296</v>
      </c>
    </row>
    <row r="20" spans="1:8" ht="11.25">
      <c r="A20" s="6"/>
      <c r="B20" s="6" t="s">
        <v>19</v>
      </c>
      <c r="C20" s="7">
        <v>31165</v>
      </c>
      <c r="D20" s="7">
        <v>36575</v>
      </c>
      <c r="E20" s="7">
        <v>19397</v>
      </c>
      <c r="F20" s="7">
        <v>16457</v>
      </c>
      <c r="G20" s="7">
        <v>18893</v>
      </c>
      <c r="H20" s="7">
        <v>11966</v>
      </c>
    </row>
    <row r="21" spans="1:8" ht="11.25">
      <c r="A21" s="6"/>
      <c r="B21" s="6" t="s">
        <v>14</v>
      </c>
      <c r="C21" s="7">
        <f aca="true" t="shared" si="3" ref="C21:H21">SUM(C22:C23)</f>
        <v>25723</v>
      </c>
      <c r="D21" s="7">
        <f t="shared" si="3"/>
        <v>28690</v>
      </c>
      <c r="E21" s="7">
        <f t="shared" si="3"/>
        <v>28202</v>
      </c>
      <c r="F21" s="7">
        <f t="shared" si="3"/>
        <v>28669</v>
      </c>
      <c r="G21" s="7">
        <f t="shared" si="3"/>
        <v>28330</v>
      </c>
      <c r="H21" s="7">
        <f t="shared" si="3"/>
        <v>31121</v>
      </c>
    </row>
    <row r="22" spans="1:8" ht="11.25">
      <c r="A22" s="6"/>
      <c r="B22" s="6" t="s">
        <v>18</v>
      </c>
      <c r="C22" s="7">
        <v>25723</v>
      </c>
      <c r="D22" s="7">
        <v>28690</v>
      </c>
      <c r="E22" s="7">
        <v>28202</v>
      </c>
      <c r="F22" s="7">
        <v>28669</v>
      </c>
      <c r="G22" s="7">
        <v>28330</v>
      </c>
      <c r="H22" s="7">
        <v>31121</v>
      </c>
    </row>
    <row r="23" spans="1:8" ht="11.25">
      <c r="A23" s="6"/>
      <c r="B23" s="6" t="s">
        <v>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1.25">
      <c r="A24" s="2" t="s">
        <v>20</v>
      </c>
      <c r="B24" s="2"/>
      <c r="C24" s="8">
        <v>15349</v>
      </c>
      <c r="D24" s="8">
        <v>14877</v>
      </c>
      <c r="E24" s="8">
        <v>14255</v>
      </c>
      <c r="F24" s="8">
        <v>14003</v>
      </c>
      <c r="G24" s="8">
        <v>13272</v>
      </c>
      <c r="H24" s="8">
        <v>12052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+(C10+G10)/2</f>
        <v>141814.5</v>
      </c>
      <c r="D26" s="7">
        <v>140856</v>
      </c>
      <c r="E26" s="7">
        <v>130091</v>
      </c>
      <c r="F26" s="7">
        <v>131524</v>
      </c>
      <c r="G26" s="7">
        <f>(G10+H10)/2</f>
        <v>132514.5</v>
      </c>
      <c r="H26" s="7">
        <f>(H10+127770)/2</f>
        <v>129370.5</v>
      </c>
    </row>
    <row r="27" spans="1:8" ht="11.25">
      <c r="A27" s="6" t="s">
        <v>22</v>
      </c>
      <c r="B27" s="6"/>
      <c r="C27" s="7">
        <f aca="true" t="shared" si="4" ref="C27:H27">C28+C29</f>
        <v>111278.5</v>
      </c>
      <c r="D27" s="7">
        <f t="shared" si="4"/>
        <v>106588</v>
      </c>
      <c r="E27" s="7">
        <f t="shared" si="4"/>
        <v>92551</v>
      </c>
      <c r="F27" s="7">
        <f t="shared" si="4"/>
        <v>96094</v>
      </c>
      <c r="G27" s="7">
        <f t="shared" si="4"/>
        <v>95149.5</v>
      </c>
      <c r="H27" s="7">
        <f t="shared" si="4"/>
        <v>88856</v>
      </c>
    </row>
    <row r="28" spans="1:8" ht="11.25">
      <c r="A28" s="6"/>
      <c r="B28" s="6" t="s">
        <v>12</v>
      </c>
      <c r="C28" s="7">
        <f>+(C12+G12)/2</f>
        <v>61077</v>
      </c>
      <c r="D28" s="7">
        <v>57977</v>
      </c>
      <c r="E28" s="7">
        <v>57011</v>
      </c>
      <c r="F28" s="7">
        <v>59951</v>
      </c>
      <c r="G28" s="7">
        <f>(G12+H12)/2</f>
        <v>59975.5</v>
      </c>
      <c r="H28" s="7">
        <f>(H12+63764)/2</f>
        <v>62945</v>
      </c>
    </row>
    <row r="29" spans="1:8" ht="11.25">
      <c r="A29" s="6"/>
      <c r="B29" s="6" t="s">
        <v>15</v>
      </c>
      <c r="C29" s="7">
        <f>+(C15+G15)/2</f>
        <v>50201.5</v>
      </c>
      <c r="D29" s="7">
        <v>48611</v>
      </c>
      <c r="E29" s="7">
        <v>35540</v>
      </c>
      <c r="F29" s="7">
        <v>36143</v>
      </c>
      <c r="G29" s="7">
        <f>(G15+H15)/2</f>
        <v>35174</v>
      </c>
      <c r="H29" s="7">
        <f>(H15+18867)/2</f>
        <v>25911</v>
      </c>
    </row>
    <row r="30" spans="1:8" ht="11.25">
      <c r="A30" s="2" t="s">
        <v>20</v>
      </c>
      <c r="B30" s="2"/>
      <c r="C30" s="8">
        <f>+(C24+G24)/2</f>
        <v>14310.5</v>
      </c>
      <c r="D30" s="8">
        <v>14022</v>
      </c>
      <c r="E30" s="8">
        <v>13510</v>
      </c>
      <c r="F30" s="8">
        <v>13060</v>
      </c>
      <c r="G30" s="8">
        <f>(G24+H24)/2</f>
        <v>12662</v>
      </c>
      <c r="H30" s="8">
        <f>(H24+10167)/2</f>
        <v>11109.5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v>10972</v>
      </c>
      <c r="D32" s="7">
        <v>7903</v>
      </c>
      <c r="E32" s="7">
        <v>5003</v>
      </c>
      <c r="F32" s="7">
        <v>2567</v>
      </c>
      <c r="G32" s="7">
        <v>9758</v>
      </c>
      <c r="H32" s="7">
        <v>10633</v>
      </c>
    </row>
    <row r="33" spans="1:8" ht="11.25">
      <c r="A33" s="6" t="s">
        <v>25</v>
      </c>
      <c r="B33" s="6"/>
      <c r="C33" s="7">
        <v>8051</v>
      </c>
      <c r="D33" s="7">
        <v>5698</v>
      </c>
      <c r="E33" s="7">
        <v>3683</v>
      </c>
      <c r="F33" s="7">
        <v>1792</v>
      </c>
      <c r="G33" s="7">
        <v>7228</v>
      </c>
      <c r="H33" s="7">
        <v>7971</v>
      </c>
    </row>
    <row r="34" spans="1:8" ht="11.25">
      <c r="A34" s="6" t="s">
        <v>26</v>
      </c>
      <c r="B34" s="6"/>
      <c r="C34" s="7">
        <f aca="true" t="shared" si="5" ref="C34:H34">C32-C33</f>
        <v>2921</v>
      </c>
      <c r="D34" s="7">
        <f t="shared" si="5"/>
        <v>2205</v>
      </c>
      <c r="E34" s="7">
        <f t="shared" si="5"/>
        <v>1320</v>
      </c>
      <c r="F34" s="7">
        <f t="shared" si="5"/>
        <v>775</v>
      </c>
      <c r="G34" s="7">
        <f t="shared" si="5"/>
        <v>2530</v>
      </c>
      <c r="H34" s="7">
        <f t="shared" si="5"/>
        <v>2662</v>
      </c>
    </row>
    <row r="35" spans="1:8" ht="11.25">
      <c r="A35" s="6" t="s">
        <v>27</v>
      </c>
      <c r="B35" s="6"/>
      <c r="C35" s="7">
        <v>837</v>
      </c>
      <c r="D35" s="7">
        <v>488</v>
      </c>
      <c r="E35" s="7">
        <v>378</v>
      </c>
      <c r="F35" s="7">
        <v>225</v>
      </c>
      <c r="G35" s="7">
        <v>479</v>
      </c>
      <c r="H35" s="7">
        <v>459</v>
      </c>
    </row>
    <row r="36" spans="1:8" ht="11.25">
      <c r="A36" s="6" t="s">
        <v>28</v>
      </c>
      <c r="B36" s="6"/>
      <c r="C36" s="7">
        <f aca="true" t="shared" si="6" ref="C36:H36">C34+C35</f>
        <v>3758</v>
      </c>
      <c r="D36" s="7">
        <f t="shared" si="6"/>
        <v>2693</v>
      </c>
      <c r="E36" s="7">
        <f t="shared" si="6"/>
        <v>1698</v>
      </c>
      <c r="F36" s="7">
        <f t="shared" si="6"/>
        <v>1000</v>
      </c>
      <c r="G36" s="7">
        <f t="shared" si="6"/>
        <v>3009</v>
      </c>
      <c r="H36" s="7">
        <f t="shared" si="6"/>
        <v>3121</v>
      </c>
    </row>
    <row r="37" spans="1:8" ht="11.25">
      <c r="A37" s="6" t="s">
        <v>29</v>
      </c>
      <c r="B37" s="6"/>
      <c r="C37" s="7">
        <v>1468</v>
      </c>
      <c r="D37" s="7">
        <v>1001</v>
      </c>
      <c r="E37" s="7">
        <v>651</v>
      </c>
      <c r="F37" s="7">
        <v>276</v>
      </c>
      <c r="G37" s="7">
        <v>1050</v>
      </c>
      <c r="H37" s="7">
        <v>1009</v>
      </c>
    </row>
    <row r="38" spans="1:8" ht="11.25">
      <c r="A38" s="6" t="s">
        <v>30</v>
      </c>
      <c r="B38" s="6"/>
      <c r="C38" s="7">
        <f aca="true" t="shared" si="7" ref="C38:H38">C36-C37</f>
        <v>2290</v>
      </c>
      <c r="D38" s="7">
        <f t="shared" si="7"/>
        <v>1692</v>
      </c>
      <c r="E38" s="7">
        <f t="shared" si="7"/>
        <v>1047</v>
      </c>
      <c r="F38" s="7">
        <f t="shared" si="7"/>
        <v>724</v>
      </c>
      <c r="G38" s="7">
        <f t="shared" si="7"/>
        <v>1959</v>
      </c>
      <c r="H38" s="7">
        <f t="shared" si="7"/>
        <v>2112</v>
      </c>
    </row>
    <row r="39" spans="1:8" ht="11.25">
      <c r="A39" s="2" t="s">
        <v>31</v>
      </c>
      <c r="B39" s="2"/>
      <c r="C39" s="8">
        <v>2100</v>
      </c>
      <c r="D39" s="8">
        <v>1632</v>
      </c>
      <c r="E39" s="8">
        <v>1017</v>
      </c>
      <c r="F39" s="8">
        <v>709</v>
      </c>
      <c r="G39" s="8">
        <v>1899</v>
      </c>
      <c r="H39" s="8">
        <v>2052</v>
      </c>
    </row>
    <row r="40" spans="1:8" ht="11.25">
      <c r="A40" s="4" t="s">
        <v>32</v>
      </c>
      <c r="B40" s="6"/>
      <c r="C40" s="6"/>
      <c r="D40" s="6"/>
      <c r="E40" s="6"/>
      <c r="F40" s="6"/>
      <c r="G40" s="6"/>
      <c r="H40" s="6"/>
    </row>
    <row r="41" spans="1:8" ht="11.25">
      <c r="A41" s="6" t="s">
        <v>33</v>
      </c>
      <c r="B41" s="6"/>
      <c r="C41" s="7">
        <v>2899</v>
      </c>
      <c r="D41" s="7">
        <v>2902</v>
      </c>
      <c r="E41" s="7">
        <v>1743</v>
      </c>
      <c r="F41" s="7">
        <v>2238</v>
      </c>
      <c r="G41" s="7">
        <v>1710</v>
      </c>
      <c r="H41" s="7">
        <v>2001</v>
      </c>
    </row>
    <row r="42" spans="1:8" ht="11.25">
      <c r="A42" s="6" t="s">
        <v>34</v>
      </c>
      <c r="B42" s="6"/>
      <c r="C42" s="7">
        <v>2021</v>
      </c>
      <c r="D42" s="7">
        <v>1116</v>
      </c>
      <c r="E42" s="7">
        <v>1355</v>
      </c>
      <c r="F42" s="7">
        <v>1464</v>
      </c>
      <c r="G42" s="7">
        <v>1575</v>
      </c>
      <c r="H42" s="7">
        <v>815</v>
      </c>
    </row>
    <row r="43" spans="1:8" ht="11.25">
      <c r="A43" s="6" t="s">
        <v>35</v>
      </c>
      <c r="B43" s="6"/>
      <c r="C43" s="9">
        <f aca="true" t="shared" si="8" ref="C43:H43">C41/C12</f>
        <v>0.045065211646380325</v>
      </c>
      <c r="D43" s="9">
        <f t="shared" si="8"/>
        <v>0.04588867805186591</v>
      </c>
      <c r="E43" s="9">
        <f t="shared" si="8"/>
        <v>0.028265170434274966</v>
      </c>
      <c r="F43" s="9">
        <f t="shared" si="8"/>
        <v>0.03760522910960631</v>
      </c>
      <c r="G43" s="9">
        <f t="shared" si="8"/>
        <v>0.029571984435797664</v>
      </c>
      <c r="H43" s="9">
        <f t="shared" si="8"/>
        <v>0.032208737082702894</v>
      </c>
    </row>
    <row r="44" spans="1:8" ht="11.25">
      <c r="A44" s="6" t="s">
        <v>36</v>
      </c>
      <c r="B44" s="6"/>
      <c r="C44" s="9">
        <f aca="true" t="shared" si="9" ref="C44:H44">C42/C12</f>
        <v>0.03141662391767321</v>
      </c>
      <c r="D44" s="9">
        <f t="shared" si="9"/>
        <v>0.01764705882352941</v>
      </c>
      <c r="E44" s="9">
        <f t="shared" si="9"/>
        <v>0.021973210521194823</v>
      </c>
      <c r="F44" s="9">
        <f t="shared" si="9"/>
        <v>0.024599667299581605</v>
      </c>
      <c r="G44" s="9">
        <f t="shared" si="9"/>
        <v>0.027237354085603113</v>
      </c>
      <c r="H44" s="9">
        <f t="shared" si="9"/>
        <v>0.013118501110646106</v>
      </c>
    </row>
    <row r="45" spans="1:8" ht="11.25">
      <c r="A45" s="10" t="s">
        <v>37</v>
      </c>
      <c r="B45" s="6"/>
      <c r="C45" s="9">
        <f aca="true" t="shared" si="10" ref="C45:H45">(C41+C42)/C12</f>
        <v>0.07648183556405354</v>
      </c>
      <c r="D45" s="9">
        <f t="shared" si="10"/>
        <v>0.06353573687539532</v>
      </c>
      <c r="E45" s="9">
        <f t="shared" si="10"/>
        <v>0.050238380955469786</v>
      </c>
      <c r="F45" s="9">
        <f t="shared" si="10"/>
        <v>0.06220489640918791</v>
      </c>
      <c r="G45" s="9">
        <f t="shared" si="10"/>
        <v>0.05680933852140078</v>
      </c>
      <c r="H45" s="9">
        <f t="shared" si="10"/>
        <v>0.045327238193349</v>
      </c>
    </row>
    <row r="46" spans="1:8" ht="11.25">
      <c r="A46" s="6" t="s">
        <v>38</v>
      </c>
      <c r="B46" s="6"/>
      <c r="C46" s="9">
        <v>0.0133</v>
      </c>
      <c r="D46" s="9">
        <v>0.0116</v>
      </c>
      <c r="E46" s="9">
        <v>0.0114</v>
      </c>
      <c r="F46" s="9">
        <v>0.0116</v>
      </c>
      <c r="G46" s="9">
        <v>0.0117</v>
      </c>
      <c r="H46" s="9">
        <v>0.01</v>
      </c>
    </row>
    <row r="47" spans="1:8" ht="11.25">
      <c r="A47" s="2" t="s">
        <v>39</v>
      </c>
      <c r="B47" s="2"/>
      <c r="C47" s="11">
        <v>0.1736</v>
      </c>
      <c r="D47" s="11">
        <v>0.1831</v>
      </c>
      <c r="E47" s="11">
        <v>0.2278</v>
      </c>
      <c r="F47" s="11">
        <v>0.1865</v>
      </c>
      <c r="G47" s="11">
        <v>0.2469</v>
      </c>
      <c r="H47" s="11">
        <v>0.2212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0.12053652062604543</v>
      </c>
      <c r="D49" s="9">
        <f t="shared" si="11"/>
        <v>0.11724050972078838</v>
      </c>
      <c r="E49" s="9">
        <f t="shared" si="11"/>
        <v>0.14238625580582331</v>
      </c>
      <c r="F49" s="9">
        <f t="shared" si="11"/>
        <v>0.1402558118570899</v>
      </c>
      <c r="G49" s="9">
        <f t="shared" si="11"/>
        <v>0.13938541032157786</v>
      </c>
      <c r="H49" s="9">
        <f t="shared" si="11"/>
        <v>0.12675508250859793</v>
      </c>
    </row>
    <row r="50" spans="1:8" ht="11.25">
      <c r="A50" s="2" t="s">
        <v>42</v>
      </c>
      <c r="B50" s="2"/>
      <c r="C50" s="11">
        <f aca="true" t="shared" si="12" ref="C50:H50">C24/C12</f>
        <v>0.23860156383590606</v>
      </c>
      <c r="D50" s="11">
        <f t="shared" si="12"/>
        <v>0.23524667931688806</v>
      </c>
      <c r="E50" s="11">
        <f t="shared" si="12"/>
        <v>0.23116466123958096</v>
      </c>
      <c r="F50" s="11">
        <f t="shared" si="12"/>
        <v>0.23529312923226858</v>
      </c>
      <c r="G50" s="11">
        <f t="shared" si="12"/>
        <v>0.2295201037613489</v>
      </c>
      <c r="H50" s="11">
        <f t="shared" si="12"/>
        <v>0.19399285323375076</v>
      </c>
    </row>
    <row r="51" spans="1:8" ht="11.25">
      <c r="A51" s="4" t="s">
        <v>43</v>
      </c>
      <c r="B51" s="6"/>
      <c r="C51" s="6"/>
      <c r="D51" s="6"/>
      <c r="E51" s="6"/>
      <c r="F51" s="6"/>
      <c r="G51" s="6"/>
      <c r="H51" s="6"/>
    </row>
    <row r="52" spans="1:8" ht="11.25">
      <c r="A52" s="6" t="s">
        <v>44</v>
      </c>
      <c r="B52" s="6"/>
      <c r="C52" s="12">
        <f aca="true" t="shared" si="13" ref="C52:H52">C11/C16</f>
        <v>0.1486283997019898</v>
      </c>
      <c r="D52" s="12">
        <f t="shared" si="13"/>
        <v>0.23171910739410326</v>
      </c>
      <c r="E52" s="12">
        <f t="shared" si="13"/>
        <v>0.31526364647383753</v>
      </c>
      <c r="F52" s="12">
        <f t="shared" si="13"/>
        <v>0.28823651140040635</v>
      </c>
      <c r="G52" s="12">
        <f t="shared" si="13"/>
        <v>0.33937629067100616</v>
      </c>
      <c r="H52" s="12">
        <f t="shared" si="13"/>
        <v>0.3162723367455327</v>
      </c>
    </row>
    <row r="53" spans="1:8" ht="11.25">
      <c r="A53" s="6" t="s">
        <v>45</v>
      </c>
      <c r="B53" s="6"/>
      <c r="C53" s="12">
        <f aca="true" t="shared" si="14" ref="C53:H53">C11/C10</f>
        <v>0.11870616630229122</v>
      </c>
      <c r="D53" s="12">
        <f t="shared" si="14"/>
        <v>0.1870344757578449</v>
      </c>
      <c r="E53" s="12">
        <f t="shared" si="14"/>
        <v>0.2486642840054806</v>
      </c>
      <c r="F53" s="12">
        <f t="shared" si="14"/>
        <v>0.22169408632489762</v>
      </c>
      <c r="G53" s="12">
        <f t="shared" si="14"/>
        <v>0.2660191857255815</v>
      </c>
      <c r="H53" s="12">
        <f t="shared" si="14"/>
        <v>0.2568965648884104</v>
      </c>
    </row>
    <row r="54" spans="1:8" ht="11.25">
      <c r="A54" s="2" t="s">
        <v>46</v>
      </c>
      <c r="B54" s="2"/>
      <c r="C54" s="13">
        <f aca="true" t="shared" si="15" ref="C54:H54">(C11+C15)/C16</f>
        <v>0.6760897044174152</v>
      </c>
      <c r="D54" s="13">
        <f t="shared" si="15"/>
        <v>0.7320453062732367</v>
      </c>
      <c r="E54" s="13">
        <f t="shared" si="15"/>
        <v>0.6686519425372929</v>
      </c>
      <c r="F54" s="13">
        <f t="shared" si="15"/>
        <v>0.6675539920234781</v>
      </c>
      <c r="G54" s="13">
        <f t="shared" si="15"/>
        <v>0.695225587879826</v>
      </c>
      <c r="H54" s="13">
        <f t="shared" si="15"/>
        <v>0.626049274790145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(C39)/C27</f>
        <v>0.018871569979825392</v>
      </c>
      <c r="D56" s="9">
        <f>((D39)/0.75)/D27</f>
        <v>0.02041505610387661</v>
      </c>
      <c r="E56" s="9">
        <f>((E39)/0.5)/E27</f>
        <v>0.021977072100787674</v>
      </c>
      <c r="F56" s="9">
        <f>((F39)/0.25)/F27</f>
        <v>0.0295127687472683</v>
      </c>
      <c r="G56" s="9">
        <f>G39/G27</f>
        <v>0.019958065990888025</v>
      </c>
      <c r="H56" s="9">
        <f>H39/H27</f>
        <v>0.023093544611506256</v>
      </c>
    </row>
    <row r="57" spans="1:8" ht="11.25">
      <c r="A57" s="6" t="s">
        <v>49</v>
      </c>
      <c r="B57" s="6"/>
      <c r="C57" s="9">
        <f>(C39)/C26</f>
        <v>0.014808076748146347</v>
      </c>
      <c r="D57" s="9">
        <f>((D39)/0.75)/D26</f>
        <v>0.015448401204066564</v>
      </c>
      <c r="E57" s="9">
        <f>((E39)/0.5)/E26</f>
        <v>0.015635209199714048</v>
      </c>
      <c r="F57" s="9">
        <f>((F39)/0.25)/F26</f>
        <v>0.02156260454365743</v>
      </c>
      <c r="G57" s="9">
        <f>G39/G26</f>
        <v>0.014330507227510952</v>
      </c>
      <c r="H57" s="9">
        <f>H39/H26</f>
        <v>0.015861421266826672</v>
      </c>
    </row>
    <row r="58" spans="1:8" ht="11.25">
      <c r="A58" s="6" t="s">
        <v>50</v>
      </c>
      <c r="B58" s="6"/>
      <c r="C58" s="9">
        <f>(C39)/C30</f>
        <v>0.1467453967366619</v>
      </c>
      <c r="D58" s="9">
        <f>((D39)/0.75)/D30</f>
        <v>0.15518470974183426</v>
      </c>
      <c r="E58" s="9">
        <f>((E39)/0.5)/E30</f>
        <v>0.15055514433752776</v>
      </c>
      <c r="F58" s="9">
        <f>((F39)/0.25)/F30</f>
        <v>0.21715160796324656</v>
      </c>
      <c r="G58" s="9">
        <f>G39/G30</f>
        <v>0.14997630706049597</v>
      </c>
      <c r="H58" s="9">
        <f>H39/H30</f>
        <v>0.1847067824834601</v>
      </c>
    </row>
    <row r="59" spans="1:8" ht="11.25">
      <c r="A59" s="6" t="s">
        <v>51</v>
      </c>
      <c r="B59" s="6"/>
      <c r="C59" s="9">
        <f>(C32)/C26</f>
        <v>0.07736867527650558</v>
      </c>
      <c r="D59" s="9">
        <f>((D32)/0.75)/D26</f>
        <v>0.07480926146797676</v>
      </c>
      <c r="E59" s="9">
        <f>((E32)/0.5)/E26</f>
        <v>0.0769153899962334</v>
      </c>
      <c r="F59" s="9">
        <f>((F32)/0.25)/F26</f>
        <v>0.07806940178218424</v>
      </c>
      <c r="G59" s="9">
        <f>G32/G26</f>
        <v>0.0736372246056092</v>
      </c>
      <c r="H59" s="9">
        <f>H32/H26</f>
        <v>0.08219029840651462</v>
      </c>
    </row>
    <row r="60" spans="1:8" ht="11.25">
      <c r="A60" s="6" t="s">
        <v>52</v>
      </c>
      <c r="B60" s="6"/>
      <c r="C60" s="9">
        <f>(C33)/C26</f>
        <v>0.05677134566634583</v>
      </c>
      <c r="D60" s="9">
        <f>((D33)/0.75)/D26</f>
        <v>0.05393688116468828</v>
      </c>
      <c r="E60" s="9">
        <f>((E33)/0.5)/E26</f>
        <v>0.056621903129347916</v>
      </c>
      <c r="F60" s="9">
        <f>((F33)/0.25)/F26</f>
        <v>0.054499559015845016</v>
      </c>
      <c r="G60" s="9">
        <f>G33/G26</f>
        <v>0.05454497432356459</v>
      </c>
      <c r="H60" s="9">
        <f>H33/H26</f>
        <v>0.06161373728941297</v>
      </c>
    </row>
    <row r="61" spans="1:8" ht="11.25">
      <c r="A61" s="6" t="s">
        <v>53</v>
      </c>
      <c r="B61" s="6"/>
      <c r="C61" s="9">
        <f>(C34)/C26</f>
        <v>0.02059732961015975</v>
      </c>
      <c r="D61" s="9">
        <f>((D34)/0.75)/D26</f>
        <v>0.020872380303288463</v>
      </c>
      <c r="E61" s="9">
        <f>((E34)/0.5)/E26</f>
        <v>0.020293486866885486</v>
      </c>
      <c r="F61" s="9">
        <f>((F34)/0.25)/F26</f>
        <v>0.023569842766339222</v>
      </c>
      <c r="G61" s="9">
        <f>G34/G26</f>
        <v>0.019092250282044608</v>
      </c>
      <c r="H61" s="9">
        <f>H34/H26</f>
        <v>0.02057656111710166</v>
      </c>
    </row>
    <row r="62" spans="1:8" ht="11.25">
      <c r="A62" s="6" t="s">
        <v>54</v>
      </c>
      <c r="B62" s="6"/>
      <c r="C62" s="9">
        <f>(C37)/(C36)</f>
        <v>0.39063331559340075</v>
      </c>
      <c r="D62" s="9">
        <f>((D37)/0.75)/((D36)/0.75)</f>
        <v>0.3717044188637208</v>
      </c>
      <c r="E62" s="9">
        <f>((E37)/0.5)/((E36)/0.5)</f>
        <v>0.3833922261484099</v>
      </c>
      <c r="F62" s="9">
        <f>(F37/0.25)/(F36/0.25)</f>
        <v>0.276</v>
      </c>
      <c r="G62" s="9">
        <f>G37/G36</f>
        <v>0.3489531405782652</v>
      </c>
      <c r="H62" s="9">
        <f>H37/H36</f>
        <v>0.3232938160845883</v>
      </c>
    </row>
    <row r="63" spans="1:8" ht="11.25">
      <c r="A63" s="2" t="s">
        <v>55</v>
      </c>
      <c r="B63" s="2"/>
      <c r="C63" s="11">
        <f>(C35)/C26</f>
        <v>0.0059020763039040434</v>
      </c>
      <c r="D63" s="11">
        <f>((D35)/0.75)/D26</f>
        <v>0.004619374869843433</v>
      </c>
      <c r="E63" s="11">
        <f>((E35)/0.5)/E26</f>
        <v>0.005811316693699026</v>
      </c>
      <c r="F63" s="11">
        <f>(F35/0.255)/F26</f>
        <v>0.00670868389933754</v>
      </c>
      <c r="G63" s="11">
        <f>G35/G26</f>
        <v>0.003614698768813979</v>
      </c>
      <c r="H63" s="11">
        <f>H35/H26</f>
        <v>0.0035479494938954396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36</v>
      </c>
      <c r="D65" s="7">
        <v>40</v>
      </c>
      <c r="E65" s="7">
        <v>36</v>
      </c>
      <c r="F65" s="7">
        <v>33</v>
      </c>
      <c r="G65" s="7">
        <v>32</v>
      </c>
      <c r="H65" s="7">
        <v>31</v>
      </c>
    </row>
    <row r="66" spans="1:8" ht="11.25">
      <c r="A66" s="6" t="s">
        <v>58</v>
      </c>
      <c r="B66" s="6"/>
      <c r="C66" s="7">
        <v>3</v>
      </c>
      <c r="D66" s="7">
        <v>3</v>
      </c>
      <c r="E66" s="7">
        <v>3</v>
      </c>
      <c r="F66" s="7">
        <v>3</v>
      </c>
      <c r="G66" s="7">
        <v>3</v>
      </c>
      <c r="H66" s="7">
        <v>3</v>
      </c>
    </row>
    <row r="67" spans="1:8" ht="11.25">
      <c r="A67" s="6" t="s">
        <v>59</v>
      </c>
      <c r="B67" s="6"/>
      <c r="C67" s="7">
        <f aca="true" t="shared" si="16" ref="C67:H67">C12/C65</f>
        <v>1786.9166666666667</v>
      </c>
      <c r="D67" s="7">
        <f t="shared" si="16"/>
        <v>1581</v>
      </c>
      <c r="E67" s="7">
        <f t="shared" si="16"/>
        <v>1712.9444444444443</v>
      </c>
      <c r="F67" s="7">
        <f t="shared" si="16"/>
        <v>1803.4242424242425</v>
      </c>
      <c r="G67" s="7">
        <f t="shared" si="16"/>
        <v>1807.03125</v>
      </c>
      <c r="H67" s="7">
        <f t="shared" si="16"/>
        <v>2004.0645161290322</v>
      </c>
    </row>
    <row r="68" spans="1:8" ht="11.25">
      <c r="A68" s="6" t="s">
        <v>60</v>
      </c>
      <c r="B68" s="6"/>
      <c r="C68" s="7">
        <f aca="true" t="shared" si="17" ref="C68:H68">C16/C65</f>
        <v>3318.3055555555557</v>
      </c>
      <c r="D68" s="7">
        <f t="shared" si="17"/>
        <v>3180.575</v>
      </c>
      <c r="E68" s="7">
        <f t="shared" si="17"/>
        <v>3022.25</v>
      </c>
      <c r="F68" s="7">
        <f t="shared" si="17"/>
        <v>3221.5757575757575</v>
      </c>
      <c r="G68" s="7">
        <f t="shared" si="17"/>
        <v>3283.78125</v>
      </c>
      <c r="H68" s="7">
        <f t="shared" si="17"/>
        <v>3431.7096774193546</v>
      </c>
    </row>
    <row r="69" spans="1:8" ht="11.25">
      <c r="A69" s="2" t="s">
        <v>61</v>
      </c>
      <c r="B69" s="2"/>
      <c r="C69" s="8">
        <f aca="true" t="shared" si="18" ref="C69:H69">C39/C65</f>
        <v>58.333333333333336</v>
      </c>
      <c r="D69" s="8">
        <f t="shared" si="18"/>
        <v>40.8</v>
      </c>
      <c r="E69" s="8">
        <f t="shared" si="18"/>
        <v>28.25</v>
      </c>
      <c r="F69" s="8">
        <f t="shared" si="18"/>
        <v>21.484848484848484</v>
      </c>
      <c r="G69" s="8">
        <f t="shared" si="18"/>
        <v>59.34375</v>
      </c>
      <c r="H69" s="8">
        <f t="shared" si="18"/>
        <v>66.19354838709677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(C10-G10)/D10</f>
        <v>0.0984215000824779</v>
      </c>
      <c r="D71" s="9">
        <f>(D10-124093)/124093</f>
        <v>0.2701602830135463</v>
      </c>
      <c r="E71" s="9">
        <f>(E10-122242)/122242</f>
        <v>0.12842558204217863</v>
      </c>
      <c r="F71" s="9">
        <f>(F10-124827)/124827</f>
        <v>0.10730851498473888</v>
      </c>
      <c r="G71" s="9">
        <f>(G10-H10)/H10</f>
        <v>0.023570103305311865</v>
      </c>
      <c r="H71" s="9">
        <f>(H10-127770)/127770</f>
        <v>0.025052829302653203</v>
      </c>
    </row>
    <row r="72" spans="1:8" ht="11.25">
      <c r="A72" s="6" t="s">
        <v>64</v>
      </c>
      <c r="B72" s="6"/>
      <c r="C72" s="9">
        <f>(C12-G12)/G12</f>
        <v>0.11247730220492866</v>
      </c>
      <c r="D72" s="9">
        <f>D12/52716-1</f>
        <v>0.19963578420213968</v>
      </c>
      <c r="E72" s="9">
        <f>E12/52358-1</f>
        <v>0.17777608006417367</v>
      </c>
      <c r="F72" s="9">
        <f>F12/60390-1</f>
        <v>-0.014522271899321093</v>
      </c>
      <c r="G72" s="9">
        <f>(G12-H12)/H12*100</f>
        <v>-6.9230273959372886</v>
      </c>
      <c r="H72" s="9">
        <f>(H12-63764)/63764</f>
        <v>-0.025688476256194717</v>
      </c>
    </row>
    <row r="73" spans="1:8" ht="11.25">
      <c r="A73" s="6"/>
      <c r="B73" s="6" t="s">
        <v>13</v>
      </c>
      <c r="C73" s="9">
        <f>(C13-G13)/G13</f>
        <v>0.15568361149634163</v>
      </c>
      <c r="D73" s="9">
        <f>D13/36113-1</f>
        <v>0.3006119679893666</v>
      </c>
      <c r="E73" s="9">
        <f>E13/36204-1</f>
        <v>0.25986078886310904</v>
      </c>
      <c r="F73" s="9">
        <f>F13/44156-1</f>
        <v>-0.01485641815381833</v>
      </c>
      <c r="G73" s="9">
        <f>(G13-H13)/H13*100</f>
        <v>-8.689576874372298</v>
      </c>
      <c r="H73" s="9">
        <f>(H13-44461)/44461</f>
        <v>0.030161264928814015</v>
      </c>
    </row>
    <row r="74" spans="1:8" ht="11.25">
      <c r="A74" s="6"/>
      <c r="B74" s="6" t="s">
        <v>14</v>
      </c>
      <c r="C74" s="9">
        <f>(C14-G14)/G14</f>
        <v>-0.000437417984127976</v>
      </c>
      <c r="D74" s="9">
        <f>D14/16603-1</f>
        <v>-0.01999638619526589</v>
      </c>
      <c r="E74" s="9">
        <f>E14/16153-1</f>
        <v>-0.006128892465795843</v>
      </c>
      <c r="F74" s="9">
        <f>F14/16234-1</f>
        <v>-0.013613403966982851</v>
      </c>
      <c r="G74" s="9">
        <f>(G14-H14)/H14*100</f>
        <v>-1.9664297966184758</v>
      </c>
      <c r="H74" s="9">
        <f>(H14-19303)/19303</f>
        <v>-0.1543283427446511</v>
      </c>
    </row>
    <row r="75" spans="1:8" ht="11.25">
      <c r="A75" s="6" t="s">
        <v>65</v>
      </c>
      <c r="B75" s="6"/>
      <c r="C75" s="9">
        <f>(C16-G16)/G16</f>
        <v>0.13682778047411046</v>
      </c>
      <c r="D75" s="9">
        <f>D16/100550-1</f>
        <v>0.2652710094480357</v>
      </c>
      <c r="E75" s="9">
        <f>E16/100568-1</f>
        <v>0.08186500676159425</v>
      </c>
      <c r="F75" s="9">
        <f>F16/103821-1</f>
        <v>0.02399321909825569</v>
      </c>
      <c r="G75" s="9">
        <f>(G16-H16)/H16*100</f>
        <v>-1.223879755224049</v>
      </c>
      <c r="H75" s="9">
        <f>(H16-109660)/109660</f>
        <v>-0.029883275579062556</v>
      </c>
    </row>
    <row r="76" spans="1:8" ht="11.25">
      <c r="A76" s="6"/>
      <c r="B76" s="6" t="s">
        <v>13</v>
      </c>
      <c r="C76" s="9">
        <f>(C17-D17)/D17</f>
        <v>-0.04868419717252088</v>
      </c>
      <c r="D76" s="9">
        <f>D17/70048-1</f>
        <v>0.40664972590223836</v>
      </c>
      <c r="E76" s="9">
        <f>E17/68828-1</f>
        <v>0.1710205149067241</v>
      </c>
      <c r="F76" s="9">
        <f>F17/71665-1</f>
        <v>0.0834158933928697</v>
      </c>
      <c r="G76" s="9">
        <f>(G17-H17)/H17*100</f>
        <v>1.9784220456538493</v>
      </c>
      <c r="H76" s="9">
        <f>(H17-74971)/74971</f>
        <v>0.003881500846994171</v>
      </c>
    </row>
    <row r="77" spans="1:8" ht="11.25">
      <c r="A77" s="6"/>
      <c r="B77" s="6" t="s">
        <v>14</v>
      </c>
      <c r="C77" s="9">
        <f>(C21-G21)/G21</f>
        <v>-0.09202259089304624</v>
      </c>
      <c r="D77" s="9">
        <f>D21/30502-1</f>
        <v>-0.05940594059405946</v>
      </c>
      <c r="E77" s="9">
        <f>E21/31741-1</f>
        <v>-0.11149617214328467</v>
      </c>
      <c r="F77" s="9">
        <f>F21/32156-1</f>
        <v>-0.10844010449060826</v>
      </c>
      <c r="G77" s="9">
        <f>(G21-H21)/H21</f>
        <v>-0.08968220815526494</v>
      </c>
      <c r="H77" s="9">
        <f>(H21-34690)/34690</f>
        <v>-0.10288267512251369</v>
      </c>
    </row>
    <row r="78" spans="1:8" ht="11.25">
      <c r="A78" s="6" t="s">
        <v>66</v>
      </c>
      <c r="B78" s="6"/>
      <c r="C78" s="9">
        <f>(C24-G24)/G24</f>
        <v>0.1564948764315853</v>
      </c>
      <c r="D78" s="9">
        <f>(D24-13168)/13168</f>
        <v>0.1297843256379101</v>
      </c>
      <c r="E78" s="9">
        <f>(E24-12765)/12765</f>
        <v>0.11672542107324715</v>
      </c>
      <c r="F78" s="9">
        <f>(F24-12118)/12118</f>
        <v>0.15555372173626011</v>
      </c>
      <c r="G78" s="9">
        <f>(G24-H24)/H24</f>
        <v>0.10122801194822437</v>
      </c>
      <c r="H78" s="9">
        <f>(H24-10166)/10166</f>
        <v>0.18552036199095023</v>
      </c>
    </row>
    <row r="79" spans="1:8" ht="11.25">
      <c r="A79" s="2" t="s">
        <v>67</v>
      </c>
      <c r="B79" s="2"/>
      <c r="C79" s="11">
        <f>C39/G39-1</f>
        <v>0.10584518167456558</v>
      </c>
      <c r="D79" s="11">
        <f>D39/1551-1</f>
        <v>0.05222437137330749</v>
      </c>
      <c r="E79" s="11">
        <f>E39/1146-1</f>
        <v>-0.11256544502617805</v>
      </c>
      <c r="F79" s="11">
        <f>F39/500-1</f>
        <v>0.4179999999999999</v>
      </c>
      <c r="G79" s="11">
        <f>G39/H39-1</f>
        <v>-0.07456140350877194</v>
      </c>
      <c r="H79" s="11">
        <f>(H39-1666)/1666</f>
        <v>0.23169267707082833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2002-05-02T16:04:13Z</cp:lastPrinted>
  <dcterms:created xsi:type="dcterms:W3CDTF">2002-03-08T15:09:55Z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