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Bac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<sst xmlns="http://schemas.openxmlformats.org/spreadsheetml/2006/main" count="80" uniqueCount="68">
  <si>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CUADRO No. 18-51   BAC INTERNATIONAL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</si>
  <si>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</si>
  <si>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</si>
  <si>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</si>
  <si>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</si>
  <si>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</si>
  <si>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</si>
  <si>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</si>
  <si>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</si>
  <si>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</si>
  <si>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</si>
  <si>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</si>
  <si>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</si>
  <si>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</si>
  <si>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</si>
  <si>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</si>
  <si>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</si>
  <si>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</si>
  <si>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</si>
  <si>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</si>
  <si>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</si>
  <si>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</si>
  <si>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</si>
  <si>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</si>
  <si>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</si>
  <si>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</si>
  <si>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</si>
  <si>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</si>
  <si>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</si>
  <si>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</si>
  <si>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</si>
  <si>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</si>
  <si>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</si>
  <si>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</si>
  <si>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</si>
  <si>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</si>
  <si>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</si>
  <si>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</si>
  <si>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</si>
  <si>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</si>
  <si>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</si>
  <si>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Activos Generadores de Ingreso</t>
  </si>
  <si>
    <t>Patrimonio /Activos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</si>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</sst>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33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_(* #,##0.0000_);_(* \(#,##0.0000\);_(* &quot;-&quot;??_);_(@_)"/>
    <numFmt numFmtId="183" formatCode="0.00000"/>
    <numFmt numFmtId="184" formatCode="0.0000"/>
    <numFmt numFmtId="185" formatCode="0.000"/>
    <numFmt numFmtId="186" formatCode="0.0"/>
    <numFmt numFmtId="187" formatCode="_ * #,##0.000_ ;_ * \-#,##0.000_ ;_ * &quot;-&quot;??_ ;_ @_ "/>
    <numFmt numFmtId="188" formatCode="_ * #,##0.0000_ ;_ * \-#,##0.0000_ ;_ * &quot;-&quot;??_ ;_ @_ "/>
  </numFmts>
  <fonts count="4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9" fontId="2" fillId="0" borderId="0" xfId="15" applyNumberFormat="1" applyFont="1" applyAlignment="1">
      <alignment/>
    </xf>
    <xf numFmtId="179" fontId="3" fillId="0" borderId="0" xfId="15" applyNumberFormat="1" applyFont="1" applyAlignment="1">
      <alignment/>
    </xf>
    <xf numFmtId="179" fontId="3" fillId="0" borderId="1" xfId="15" applyNumberFormat="1" applyFont="1" applyBorder="1" applyAlignment="1">
      <alignment/>
    </xf>
    <xf numFmtId="10" fontId="3" fillId="0" borderId="0" xfId="19" applyNumberFormat="1" applyFont="1" applyAlignment="1">
      <alignment/>
    </xf>
    <xf numFmtId="0" fontId="3" fillId="0" borderId="0" xfId="0" applyFont="1" applyBorder="1" applyAlignment="1">
      <alignment/>
    </xf>
    <xf numFmtId="10" fontId="3" fillId="0" borderId="1" xfId="19" applyNumberFormat="1" applyFont="1" applyBorder="1" applyAlignment="1">
      <alignment/>
    </xf>
    <xf numFmtId="181" fontId="3" fillId="0" borderId="0" xfId="19" applyNumberFormat="1" applyFont="1" applyAlignment="1">
      <alignment/>
    </xf>
    <xf numFmtId="181" fontId="3" fillId="0" borderId="1" xfId="19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342900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11.421875" defaultRowHeight="12.75"/>
  <cols>
    <col min="1" max="1" width="3.57421875" style="1" customWidth="1"/>
    <col min="2" max="2" width="33.140625" style="1" customWidth="1"/>
    <col min="3" max="3" width="11.140625" style="1" customWidth="1"/>
    <col min="4" max="4" width="9.57421875" style="1" customWidth="1"/>
    <col min="5" max="5" width="8.421875" style="1" customWidth="1"/>
    <col min="6" max="6" width="9.57421875" style="1" customWidth="1"/>
    <col min="7" max="7" width="12.00390625" style="1" customWidth="1"/>
    <col min="8" max="8" width="12.421875" style="1" customWidth="1"/>
    <col min="9" max="16384" width="11.421875" style="1" customWidth="1"/>
  </cols>
  <sheetData>
    <row r="1" spans="2:8" s="2" customFormat="1" ht="11.25">
      <c r="B1" s="14"/>
      <c r="C1" s="14"/>
      <c r="D1" s="14"/>
      <c r="E1" s="14"/>
      <c r="F1" s="14"/>
      <c r="G1" s="14"/>
      <c r="H1" s="14"/>
    </row>
    <row r="2" spans="2:8" s="2" customFormat="1" ht="11.25">
      <c r="B2" s="14"/>
      <c r="C2" s="14"/>
      <c r="D2" s="14"/>
      <c r="E2" s="14"/>
      <c r="F2" s="14" t="s">
        <v>0</v>
      </c>
      <c r="G2" s="14"/>
      <c r="H2" s="14"/>
    </row>
    <row r="3" spans="2:8" s="2" customFormat="1" ht="11.25">
      <c r="B3" s="15"/>
      <c r="C3" s="15"/>
      <c r="D3" s="15"/>
      <c r="E3" s="15"/>
      <c r="F3" s="14" t="s">
        <v>1</v>
      </c>
      <c r="G3" s="15"/>
      <c r="H3" s="15"/>
    </row>
    <row r="4" spans="1:8" s="2" customFormat="1" ht="11.25">
      <c r="A4" s="15"/>
      <c r="B4" s="15"/>
      <c r="C4" s="15"/>
      <c r="D4" s="15"/>
      <c r="E4" s="15"/>
      <c r="F4" s="15" t="s">
        <v>2</v>
      </c>
      <c r="G4" s="15"/>
      <c r="H4" s="15"/>
    </row>
    <row r="5" spans="1:8" s="2" customFormat="1" ht="11.25">
      <c r="A5" s="15"/>
      <c r="B5" s="15"/>
      <c r="C5" s="15"/>
      <c r="D5" s="15"/>
      <c r="E5" s="15"/>
      <c r="F5" s="15"/>
      <c r="G5" s="15"/>
      <c r="H5" s="15"/>
    </row>
    <row r="6" spans="1:8" s="2" customFormat="1" ht="11.25">
      <c r="A6" s="16"/>
      <c r="B6" s="16"/>
      <c r="C6" s="16"/>
      <c r="D6" s="16"/>
      <c r="E6" s="16"/>
      <c r="F6" s="16"/>
      <c r="G6" s="16"/>
      <c r="H6" s="16"/>
    </row>
    <row r="7" spans="1:8" s="2" customFormat="1" ht="11.25">
      <c r="A7" s="4"/>
      <c r="B7" s="4"/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</row>
    <row r="8" spans="1:8" s="2" customFormat="1" ht="11.25">
      <c r="A8" s="5" t="s">
        <v>9</v>
      </c>
      <c r="B8" s="5"/>
      <c r="C8" s="6"/>
      <c r="D8" s="6"/>
      <c r="E8" s="6"/>
      <c r="F8" s="6"/>
      <c r="G8" s="6"/>
      <c r="H8" s="6"/>
    </row>
    <row r="9" spans="1:8" s="2" customFormat="1" ht="11.25">
      <c r="A9" s="2" t="s">
        <v>10</v>
      </c>
      <c r="C9" s="7">
        <v>221897</v>
      </c>
      <c r="D9" s="7">
        <v>225206</v>
      </c>
      <c r="E9" s="7">
        <v>216943</v>
      </c>
      <c r="F9" s="7">
        <v>202577</v>
      </c>
      <c r="G9" s="7">
        <v>208623</v>
      </c>
      <c r="H9" s="7">
        <v>185944</v>
      </c>
    </row>
    <row r="10" spans="1:8" s="2" customFormat="1" ht="11.25">
      <c r="A10" s="2" t="s">
        <v>11</v>
      </c>
      <c r="C10" s="7">
        <v>10237</v>
      </c>
      <c r="D10" s="7">
        <v>11302</v>
      </c>
      <c r="E10" s="7">
        <v>11900</v>
      </c>
      <c r="F10" s="7">
        <v>13765</v>
      </c>
      <c r="G10" s="7">
        <v>18881</v>
      </c>
      <c r="H10" s="7">
        <v>21164</v>
      </c>
    </row>
    <row r="11" spans="1:8" s="2" customFormat="1" ht="11.25">
      <c r="A11" s="2" t="s">
        <v>12</v>
      </c>
      <c r="C11" s="7">
        <f aca="true" t="shared" si="0" ref="C11:H11">C12+C13</f>
        <v>82755</v>
      </c>
      <c r="D11" s="7">
        <f t="shared" si="0"/>
        <v>81923</v>
      </c>
      <c r="E11" s="7">
        <f t="shared" si="0"/>
        <v>81124</v>
      </c>
      <c r="F11" s="7">
        <f t="shared" si="0"/>
        <v>77050</v>
      </c>
      <c r="G11" s="7">
        <f t="shared" si="0"/>
        <v>77884</v>
      </c>
      <c r="H11" s="7">
        <f t="shared" si="0"/>
        <v>54788</v>
      </c>
    </row>
    <row r="12" spans="2:8" s="2" customFormat="1" ht="11.25">
      <c r="B12" s="2" t="s">
        <v>13</v>
      </c>
      <c r="C12" s="7">
        <v>58963</v>
      </c>
      <c r="D12" s="7">
        <v>58992</v>
      </c>
      <c r="E12" s="7">
        <v>59789</v>
      </c>
      <c r="F12" s="7">
        <v>58995</v>
      </c>
      <c r="G12" s="7">
        <v>58667</v>
      </c>
      <c r="H12" s="7">
        <v>37362</v>
      </c>
    </row>
    <row r="13" spans="2:8" s="2" customFormat="1" ht="11.25">
      <c r="B13" s="2" t="s">
        <v>14</v>
      </c>
      <c r="C13" s="7">
        <v>23792</v>
      </c>
      <c r="D13" s="7">
        <v>22931</v>
      </c>
      <c r="E13" s="7">
        <v>21335</v>
      </c>
      <c r="F13" s="7">
        <v>18055</v>
      </c>
      <c r="G13" s="7">
        <v>19217</v>
      </c>
      <c r="H13" s="7">
        <v>17426</v>
      </c>
    </row>
    <row r="14" spans="1:8" s="2" customFormat="1" ht="11.25">
      <c r="A14" s="2" t="s">
        <v>15</v>
      </c>
      <c r="C14" s="7">
        <v>123838</v>
      </c>
      <c r="D14" s="7">
        <v>125924</v>
      </c>
      <c r="E14" s="7">
        <v>118025</v>
      </c>
      <c r="F14" s="7">
        <v>105813</v>
      </c>
      <c r="G14" s="7">
        <v>105149</v>
      </c>
      <c r="H14" s="7">
        <v>104925</v>
      </c>
    </row>
    <row r="15" spans="1:8" s="2" customFormat="1" ht="11.25">
      <c r="A15" s="2" t="s">
        <v>16</v>
      </c>
      <c r="C15" s="7">
        <f aca="true" t="shared" si="1" ref="C15:H15">C16+C20</f>
        <v>86590</v>
      </c>
      <c r="D15" s="7">
        <f t="shared" si="1"/>
        <v>92552</v>
      </c>
      <c r="E15" s="7">
        <f t="shared" si="1"/>
        <v>88423</v>
      </c>
      <c r="F15" s="7">
        <f t="shared" si="1"/>
        <v>86804</v>
      </c>
      <c r="G15" s="7">
        <f t="shared" si="1"/>
        <v>90155</v>
      </c>
      <c r="H15" s="7">
        <f t="shared" si="1"/>
        <v>71859</v>
      </c>
    </row>
    <row r="16" spans="2:8" s="2" customFormat="1" ht="11.25">
      <c r="B16" s="2" t="s">
        <v>13</v>
      </c>
      <c r="C16" s="7">
        <f aca="true" t="shared" si="2" ref="C16:H16">SUM(C17:C19)</f>
        <v>47475</v>
      </c>
      <c r="D16" s="7">
        <f t="shared" si="2"/>
        <v>47902</v>
      </c>
      <c r="E16" s="7">
        <f t="shared" si="2"/>
        <v>34702</v>
      </c>
      <c r="F16" s="7">
        <f t="shared" si="2"/>
        <v>28893</v>
      </c>
      <c r="G16" s="7">
        <f t="shared" si="2"/>
        <v>34562</v>
      </c>
      <c r="H16" s="7">
        <f t="shared" si="2"/>
        <v>33319</v>
      </c>
    </row>
    <row r="17" spans="2:8" s="2" customFormat="1" ht="11.25">
      <c r="B17" s="2" t="s">
        <v>17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</row>
    <row r="18" spans="2:8" s="2" customFormat="1" ht="11.25">
      <c r="B18" s="2" t="s">
        <v>18</v>
      </c>
      <c r="C18" s="7">
        <v>28567</v>
      </c>
      <c r="D18" s="7">
        <v>31190</v>
      </c>
      <c r="E18" s="7">
        <v>22447</v>
      </c>
      <c r="F18" s="7">
        <v>20412</v>
      </c>
      <c r="G18" s="7">
        <v>22057</v>
      </c>
      <c r="H18" s="7">
        <v>20296</v>
      </c>
    </row>
    <row r="19" spans="2:8" s="2" customFormat="1" ht="11.25">
      <c r="B19" s="2" t="s">
        <v>19</v>
      </c>
      <c r="C19" s="7">
        <v>18908</v>
      </c>
      <c r="D19" s="7">
        <v>16712</v>
      </c>
      <c r="E19" s="7">
        <v>12255</v>
      </c>
      <c r="F19" s="7">
        <v>8481</v>
      </c>
      <c r="G19" s="7">
        <v>12505</v>
      </c>
      <c r="H19" s="7">
        <v>13023</v>
      </c>
    </row>
    <row r="20" spans="2:8" s="2" customFormat="1" ht="11.25">
      <c r="B20" s="2" t="s">
        <v>14</v>
      </c>
      <c r="C20" s="7">
        <f aca="true" t="shared" si="3" ref="C20:H20">SUM(C21:C22)</f>
        <v>39115</v>
      </c>
      <c r="D20" s="7">
        <f t="shared" si="3"/>
        <v>44650</v>
      </c>
      <c r="E20" s="7">
        <f t="shared" si="3"/>
        <v>53721</v>
      </c>
      <c r="F20" s="7">
        <f t="shared" si="3"/>
        <v>57911</v>
      </c>
      <c r="G20" s="7">
        <f t="shared" si="3"/>
        <v>55593</v>
      </c>
      <c r="H20" s="7">
        <f t="shared" si="3"/>
        <v>38540</v>
      </c>
    </row>
    <row r="21" spans="2:8" s="2" customFormat="1" ht="11.25">
      <c r="B21" s="2" t="s">
        <v>18</v>
      </c>
      <c r="C21" s="7">
        <v>38395</v>
      </c>
      <c r="D21" s="7">
        <v>40385</v>
      </c>
      <c r="E21" s="7">
        <v>42568</v>
      </c>
      <c r="F21" s="7">
        <v>46869</v>
      </c>
      <c r="G21" s="7">
        <v>41951</v>
      </c>
      <c r="H21" s="7">
        <v>26263</v>
      </c>
    </row>
    <row r="22" spans="2:8" s="2" customFormat="1" ht="11.25">
      <c r="B22" s="2" t="s">
        <v>19</v>
      </c>
      <c r="C22" s="7">
        <v>720</v>
      </c>
      <c r="D22" s="7">
        <v>4265</v>
      </c>
      <c r="E22" s="7">
        <v>11153</v>
      </c>
      <c r="F22" s="7">
        <v>11042</v>
      </c>
      <c r="G22" s="7">
        <v>13642</v>
      </c>
      <c r="H22" s="7">
        <v>12277</v>
      </c>
    </row>
    <row r="23" spans="1:8" s="2" customFormat="1" ht="11.25">
      <c r="A23" s="3" t="s">
        <v>20</v>
      </c>
      <c r="B23" s="3"/>
      <c r="C23" s="8">
        <v>126309</v>
      </c>
      <c r="D23" s="8">
        <v>130007</v>
      </c>
      <c r="E23" s="8">
        <v>123310</v>
      </c>
      <c r="F23" s="8">
        <v>111421</v>
      </c>
      <c r="G23" s="8">
        <v>111448</v>
      </c>
      <c r="H23" s="8">
        <v>110824</v>
      </c>
    </row>
    <row r="24" spans="1:8" s="2" customFormat="1" ht="11.25">
      <c r="A24" s="5" t="s">
        <v>21</v>
      </c>
      <c r="C24" s="7"/>
      <c r="D24" s="7"/>
      <c r="E24" s="7"/>
      <c r="F24" s="7"/>
      <c r="G24" s="7"/>
      <c r="H24" s="7"/>
    </row>
    <row r="25" spans="1:8" s="2" customFormat="1" ht="11.25">
      <c r="A25" s="2" t="s">
        <v>10</v>
      </c>
      <c r="C25" s="7">
        <f>(221897+208623)/2</f>
        <v>215260</v>
      </c>
      <c r="D25" s="7">
        <f>(D9+200043)/2</f>
        <v>212624.5</v>
      </c>
      <c r="E25" s="7">
        <f>(E9+186182)/2</f>
        <v>201562.5</v>
      </c>
      <c r="F25" s="7">
        <f>(F9+183276)/2</f>
        <v>192926.5</v>
      </c>
      <c r="G25" s="7">
        <f>(G9+H9)/2</f>
        <v>197283.5</v>
      </c>
      <c r="H25" s="7">
        <f>(H9+201674)/2</f>
        <v>193809</v>
      </c>
    </row>
    <row r="26" spans="1:8" s="2" customFormat="1" ht="11.25">
      <c r="A26" s="2" t="s">
        <v>22</v>
      </c>
      <c r="C26" s="7">
        <f aca="true" t="shared" si="4" ref="C26:H26">C27+C28</f>
        <v>139134.5</v>
      </c>
      <c r="D26" s="7">
        <f t="shared" si="4"/>
        <v>190353</v>
      </c>
      <c r="E26" s="7">
        <f t="shared" si="4"/>
        <v>181961</v>
      </c>
      <c r="F26" s="7">
        <f t="shared" si="4"/>
        <v>171296.5</v>
      </c>
      <c r="G26" s="7">
        <f t="shared" si="4"/>
        <v>171373</v>
      </c>
      <c r="H26" s="7">
        <f t="shared" si="4"/>
        <v>134602</v>
      </c>
    </row>
    <row r="27" spans="2:8" s="2" customFormat="1" ht="11.25">
      <c r="B27" s="2" t="s">
        <v>12</v>
      </c>
      <c r="C27" s="7">
        <f>(C11+G11)/2</f>
        <v>80319.5</v>
      </c>
      <c r="D27" s="7">
        <f>(D11+70651)/2</f>
        <v>76287</v>
      </c>
      <c r="E27" s="7">
        <f>(E11+67309)/2</f>
        <v>74216.5</v>
      </c>
      <c r="F27" s="7">
        <f>(F11+62461)/2</f>
        <v>69755.5</v>
      </c>
      <c r="G27" s="7">
        <f>(G11+H11)/2</f>
        <v>66336</v>
      </c>
      <c r="H27" s="7">
        <f>(H11+22637)/2</f>
        <v>38712.5</v>
      </c>
    </row>
    <row r="28" spans="2:8" s="2" customFormat="1" ht="11.25">
      <c r="B28" s="2" t="s">
        <v>15</v>
      </c>
      <c r="C28" s="7">
        <f>(C12+G12)/2</f>
        <v>58815</v>
      </c>
      <c r="D28" s="7">
        <f>(D14+102208)/2</f>
        <v>114066</v>
      </c>
      <c r="E28" s="7">
        <f>(E14+97464)/2</f>
        <v>107744.5</v>
      </c>
      <c r="F28" s="7">
        <f>(F14+97269)/2</f>
        <v>101541</v>
      </c>
      <c r="G28" s="7">
        <f>(G14+H14)/2</f>
        <v>105037</v>
      </c>
      <c r="H28" s="7">
        <f>(H14+86854)/2</f>
        <v>95889.5</v>
      </c>
    </row>
    <row r="29" spans="1:8" s="2" customFormat="1" ht="11.25">
      <c r="A29" s="3" t="s">
        <v>20</v>
      </c>
      <c r="B29" s="3"/>
      <c r="C29" s="8">
        <f>(C23+G23)/2</f>
        <v>118878.5</v>
      </c>
      <c r="D29" s="8">
        <f>(D23+108201)/2</f>
        <v>119104</v>
      </c>
      <c r="E29" s="8">
        <f>(E23+102366)/2</f>
        <v>112838</v>
      </c>
      <c r="F29" s="8">
        <f>(F23+102613)/2</f>
        <v>107017</v>
      </c>
      <c r="G29" s="8">
        <f>(G23+H23)/2</f>
        <v>111136</v>
      </c>
      <c r="H29" s="8">
        <f>(H23+93596)/2</f>
        <v>102210</v>
      </c>
    </row>
    <row r="30" s="2" customFormat="1" ht="11.25">
      <c r="A30" s="5" t="s">
        <v>23</v>
      </c>
    </row>
    <row r="31" spans="1:8" s="2" customFormat="1" ht="11.25">
      <c r="A31" s="2" t="s">
        <v>24</v>
      </c>
      <c r="C31" s="7">
        <f>2372+D31</f>
        <v>9024</v>
      </c>
      <c r="D31" s="7">
        <f>2402+E31</f>
        <v>6652</v>
      </c>
      <c r="E31" s="7">
        <f>2200+F31</f>
        <v>4250</v>
      </c>
      <c r="F31" s="7">
        <v>2050</v>
      </c>
      <c r="G31" s="7">
        <v>7161</v>
      </c>
      <c r="H31" s="7">
        <v>7507</v>
      </c>
    </row>
    <row r="32" spans="1:8" s="2" customFormat="1" ht="11.25">
      <c r="A32" s="2" t="s">
        <v>25</v>
      </c>
      <c r="C32" s="7">
        <f>1473+D32</f>
        <v>5697</v>
      </c>
      <c r="D32" s="7">
        <f>1505+E32</f>
        <v>4224</v>
      </c>
      <c r="E32" s="7">
        <f>1349+F32</f>
        <v>2719</v>
      </c>
      <c r="F32" s="7">
        <v>1370</v>
      </c>
      <c r="G32" s="7">
        <v>5114</v>
      </c>
      <c r="H32" s="7">
        <v>5506</v>
      </c>
    </row>
    <row r="33" spans="1:8" s="2" customFormat="1" ht="11.25">
      <c r="A33" s="2" t="s">
        <v>26</v>
      </c>
      <c r="C33" s="7">
        <f aca="true" t="shared" si="5" ref="C33:H33">C31-C32</f>
        <v>3327</v>
      </c>
      <c r="D33" s="7">
        <f t="shared" si="5"/>
        <v>2428</v>
      </c>
      <c r="E33" s="7">
        <f t="shared" si="5"/>
        <v>1531</v>
      </c>
      <c r="F33" s="7">
        <f t="shared" si="5"/>
        <v>680</v>
      </c>
      <c r="G33" s="7">
        <f t="shared" si="5"/>
        <v>2047</v>
      </c>
      <c r="H33" s="7">
        <f t="shared" si="5"/>
        <v>2001</v>
      </c>
    </row>
    <row r="34" spans="1:8" s="2" customFormat="1" ht="11.25">
      <c r="A34" s="2" t="s">
        <v>27</v>
      </c>
      <c r="C34" s="7">
        <f>11389+D34</f>
        <v>46756</v>
      </c>
      <c r="D34" s="7">
        <f>9257+E34</f>
        <v>35367</v>
      </c>
      <c r="E34" s="7">
        <f>18033+F34</f>
        <v>26110</v>
      </c>
      <c r="F34" s="7">
        <v>8077</v>
      </c>
      <c r="G34" s="7">
        <v>31142</v>
      </c>
      <c r="H34" s="7">
        <v>37703</v>
      </c>
    </row>
    <row r="35" spans="1:8" s="2" customFormat="1" ht="11.25">
      <c r="A35" s="2" t="s">
        <v>28</v>
      </c>
      <c r="C35" s="7">
        <f aca="true" t="shared" si="6" ref="C35:H35">C33+C34</f>
        <v>50083</v>
      </c>
      <c r="D35" s="7">
        <f t="shared" si="6"/>
        <v>37795</v>
      </c>
      <c r="E35" s="7">
        <f t="shared" si="6"/>
        <v>27641</v>
      </c>
      <c r="F35" s="7">
        <f t="shared" si="6"/>
        <v>8757</v>
      </c>
      <c r="G35" s="7">
        <f t="shared" si="6"/>
        <v>33189</v>
      </c>
      <c r="H35" s="7">
        <f t="shared" si="6"/>
        <v>39704</v>
      </c>
    </row>
    <row r="36" spans="1:8" s="2" customFormat="1" ht="11.25">
      <c r="A36" s="2" t="s">
        <v>29</v>
      </c>
      <c r="C36" s="7">
        <f>1211+D36</f>
        <v>4627</v>
      </c>
      <c r="D36" s="7">
        <f>960+E36</f>
        <v>3416</v>
      </c>
      <c r="E36" s="7">
        <f>1221+F36</f>
        <v>2456</v>
      </c>
      <c r="F36" s="7">
        <v>1235</v>
      </c>
      <c r="G36" s="7">
        <v>4968</v>
      </c>
      <c r="H36" s="7">
        <v>3247</v>
      </c>
    </row>
    <row r="37" spans="1:8" s="2" customFormat="1" ht="11.25">
      <c r="A37" s="2" t="s">
        <v>30</v>
      </c>
      <c r="C37" s="7">
        <f aca="true" t="shared" si="7" ref="C37:H37">C35-C36</f>
        <v>45456</v>
      </c>
      <c r="D37" s="7">
        <f t="shared" si="7"/>
        <v>34379</v>
      </c>
      <c r="E37" s="7">
        <f t="shared" si="7"/>
        <v>25185</v>
      </c>
      <c r="F37" s="7">
        <f t="shared" si="7"/>
        <v>7522</v>
      </c>
      <c r="G37" s="7">
        <f t="shared" si="7"/>
        <v>28221</v>
      </c>
      <c r="H37" s="7">
        <f t="shared" si="7"/>
        <v>36457</v>
      </c>
    </row>
    <row r="38" spans="1:8" s="2" customFormat="1" ht="11.25">
      <c r="A38" s="3" t="s">
        <v>31</v>
      </c>
      <c r="B38" s="3"/>
      <c r="C38" s="8">
        <f>8737+D38</f>
        <v>42821</v>
      </c>
      <c r="D38" s="8">
        <f>9149+E38</f>
        <v>34084</v>
      </c>
      <c r="E38" s="8">
        <f>17618+F38</f>
        <v>24935</v>
      </c>
      <c r="F38" s="8">
        <v>7317</v>
      </c>
      <c r="G38" s="8">
        <v>28121</v>
      </c>
      <c r="H38" s="8">
        <v>36457</v>
      </c>
    </row>
    <row r="39" spans="1:8" s="2" customFormat="1" ht="11.25">
      <c r="A39" s="5" t="s">
        <v>32</v>
      </c>
      <c r="C39" s="7"/>
      <c r="D39" s="7"/>
      <c r="E39" s="7"/>
      <c r="F39" s="7"/>
      <c r="G39" s="7"/>
      <c r="H39" s="7"/>
    </row>
    <row r="40" spans="1:8" s="2" customFormat="1" ht="11.25">
      <c r="A40" s="2" t="s">
        <v>33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</row>
    <row r="41" spans="1:8" s="2" customFormat="1" ht="11.25">
      <c r="A41" s="2" t="s">
        <v>34</v>
      </c>
      <c r="C41" s="7">
        <v>10180</v>
      </c>
      <c r="D41" s="7">
        <v>8467</v>
      </c>
      <c r="E41" s="7">
        <v>2872</v>
      </c>
      <c r="F41" s="7">
        <v>2530</v>
      </c>
      <c r="G41" s="7">
        <v>2658</v>
      </c>
      <c r="H41" s="7">
        <v>449</v>
      </c>
    </row>
    <row r="42" spans="1:8" s="2" customFormat="1" ht="11.25">
      <c r="A42" s="2" t="s">
        <v>35</v>
      </c>
      <c r="C42" s="9">
        <f aca="true" t="shared" si="8" ref="C42:H42">C40/C11</f>
        <v>0</v>
      </c>
      <c r="D42" s="9">
        <f t="shared" si="8"/>
        <v>0</v>
      </c>
      <c r="E42" s="9">
        <f t="shared" si="8"/>
        <v>0</v>
      </c>
      <c r="F42" s="9">
        <f t="shared" si="8"/>
        <v>0</v>
      </c>
      <c r="G42" s="9">
        <f t="shared" si="8"/>
        <v>0</v>
      </c>
      <c r="H42" s="9">
        <f t="shared" si="8"/>
        <v>0</v>
      </c>
    </row>
    <row r="43" spans="1:8" s="2" customFormat="1" ht="11.25">
      <c r="A43" s="2" t="s">
        <v>36</v>
      </c>
      <c r="C43" s="9">
        <f aca="true" t="shared" si="9" ref="C43:H43">(C41)/C11</f>
        <v>0.1230137151833726</v>
      </c>
      <c r="D43" s="9">
        <f t="shared" si="9"/>
        <v>0.10335314868840252</v>
      </c>
      <c r="E43" s="9">
        <f t="shared" si="9"/>
        <v>0.03540259356047532</v>
      </c>
      <c r="F43" s="9">
        <f t="shared" si="9"/>
        <v>0.03283582089552239</v>
      </c>
      <c r="G43" s="9">
        <f t="shared" si="9"/>
        <v>0.0341276770581891</v>
      </c>
      <c r="H43" s="9">
        <f t="shared" si="9"/>
        <v>0.008195225231802584</v>
      </c>
    </row>
    <row r="44" spans="1:8" s="2" customFormat="1" ht="11.25">
      <c r="A44" s="10" t="s">
        <v>37</v>
      </c>
      <c r="C44" s="9">
        <f aca="true" t="shared" si="10" ref="C44:H44">(C40+C41)/C11</f>
        <v>0.1230137151833726</v>
      </c>
      <c r="D44" s="9">
        <f t="shared" si="10"/>
        <v>0.10335314868840252</v>
      </c>
      <c r="E44" s="9">
        <f t="shared" si="10"/>
        <v>0.03540259356047532</v>
      </c>
      <c r="F44" s="9">
        <f t="shared" si="10"/>
        <v>0.03283582089552239</v>
      </c>
      <c r="G44" s="9">
        <f t="shared" si="10"/>
        <v>0.0341276770581891</v>
      </c>
      <c r="H44" s="9">
        <f t="shared" si="10"/>
        <v>0.008195225231802584</v>
      </c>
    </row>
    <row r="45" spans="1:8" s="2" customFormat="1" ht="11.25">
      <c r="A45" s="2" t="s">
        <v>38</v>
      </c>
      <c r="C45" s="9">
        <v>0.0404</v>
      </c>
      <c r="D45" s="9">
        <v>0.0124</v>
      </c>
      <c r="E45" s="9">
        <v>0.0119</v>
      </c>
      <c r="F45" s="9">
        <v>0.0121</v>
      </c>
      <c r="G45" s="9">
        <v>0.0093</v>
      </c>
      <c r="H45" s="9">
        <f>(536/H11)</f>
        <v>0.009783164196539388</v>
      </c>
    </row>
    <row r="46" spans="1:8" s="2" customFormat="1" ht="11.25">
      <c r="A46" s="3" t="s">
        <v>39</v>
      </c>
      <c r="B46" s="3"/>
      <c r="C46" s="11">
        <v>0.3283</v>
      </c>
      <c r="D46" s="11">
        <v>0.1196</v>
      </c>
      <c r="E46" s="11">
        <v>0.3368</v>
      </c>
      <c r="F46" s="11">
        <f>(F18/0.25)/F9</f>
        <v>0.40304674272005214</v>
      </c>
      <c r="G46" s="11">
        <v>0.2736</v>
      </c>
      <c r="H46" s="11">
        <v>1.1932</v>
      </c>
    </row>
    <row r="47" spans="1:8" s="2" customFormat="1" ht="11.25">
      <c r="A47" s="5" t="s">
        <v>40</v>
      </c>
      <c r="C47" s="7"/>
      <c r="D47" s="7"/>
      <c r="E47" s="7"/>
      <c r="F47" s="7"/>
      <c r="G47" s="7"/>
      <c r="H47" s="7"/>
    </row>
    <row r="48" spans="1:8" s="2" customFormat="1" ht="11.25">
      <c r="A48" s="2" t="s">
        <v>41</v>
      </c>
      <c r="C48" s="9">
        <f aca="true" t="shared" si="11" ref="C48:H48">C23/(C11+C14)</f>
        <v>0.6113905117791987</v>
      </c>
      <c r="D48" s="9">
        <f t="shared" si="11"/>
        <v>0.6254937526161071</v>
      </c>
      <c r="E48" s="9">
        <f t="shared" si="11"/>
        <v>0.6191846306032167</v>
      </c>
      <c r="F48" s="9">
        <f t="shared" si="11"/>
        <v>0.609314076658482</v>
      </c>
      <c r="G48" s="9">
        <f t="shared" si="11"/>
        <v>0.6088956636234996</v>
      </c>
      <c r="H48" s="9">
        <f t="shared" si="11"/>
        <v>0.6938946735707174</v>
      </c>
    </row>
    <row r="49" spans="1:8" s="2" customFormat="1" ht="11.25">
      <c r="A49" s="3" t="s">
        <v>42</v>
      </c>
      <c r="B49" s="3"/>
      <c r="C49" s="11">
        <f aca="true" t="shared" si="12" ref="C49:H49">C23/C9</f>
        <v>0.5692235586781255</v>
      </c>
      <c r="D49" s="11">
        <f t="shared" si="12"/>
        <v>0.5772803566512438</v>
      </c>
      <c r="E49" s="11">
        <f t="shared" si="12"/>
        <v>0.5683981506663041</v>
      </c>
      <c r="F49" s="11">
        <f t="shared" si="12"/>
        <v>0.5500180178401299</v>
      </c>
      <c r="G49" s="11">
        <f t="shared" si="12"/>
        <v>0.5342076377005411</v>
      </c>
      <c r="H49" s="11">
        <f t="shared" si="12"/>
        <v>0.5960074000774427</v>
      </c>
    </row>
    <row r="50" spans="1:8" s="2" customFormat="1" ht="11.25">
      <c r="A50" s="5" t="s">
        <v>43</v>
      </c>
      <c r="C50" s="12"/>
      <c r="D50" s="12"/>
      <c r="E50" s="12"/>
      <c r="F50" s="12"/>
      <c r="G50" s="12"/>
      <c r="H50" s="12"/>
    </row>
    <row r="51" spans="1:8" s="2" customFormat="1" ht="11.25">
      <c r="A51" s="2" t="s">
        <v>44</v>
      </c>
      <c r="C51" s="12">
        <f aca="true" t="shared" si="13" ref="C51:H51">C10/C15</f>
        <v>0.11822381337336875</v>
      </c>
      <c r="D51" s="12">
        <f t="shared" si="13"/>
        <v>0.1221151352753047</v>
      </c>
      <c r="E51" s="12">
        <f t="shared" si="13"/>
        <v>0.1345803693609129</v>
      </c>
      <c r="F51" s="12">
        <f t="shared" si="13"/>
        <v>0.1585756416754988</v>
      </c>
      <c r="G51" s="12">
        <f t="shared" si="13"/>
        <v>0.20942820697687317</v>
      </c>
      <c r="H51" s="12">
        <f t="shared" si="13"/>
        <v>0.29452121515746116</v>
      </c>
    </row>
    <row r="52" spans="1:8" s="2" customFormat="1" ht="11.25">
      <c r="A52" s="2" t="s">
        <v>45</v>
      </c>
      <c r="C52" s="12">
        <f aca="true" t="shared" si="14" ref="C52:H52">C10/C9</f>
        <v>0.04613401713407572</v>
      </c>
      <c r="D52" s="12">
        <f t="shared" si="14"/>
        <v>0.050185163805582446</v>
      </c>
      <c r="E52" s="12">
        <f t="shared" si="14"/>
        <v>0.05485311810014612</v>
      </c>
      <c r="F52" s="12">
        <f t="shared" si="14"/>
        <v>0.06794947106532331</v>
      </c>
      <c r="G52" s="12">
        <f t="shared" si="14"/>
        <v>0.09050296467791183</v>
      </c>
      <c r="H52" s="12">
        <f t="shared" si="14"/>
        <v>0.1138192143871273</v>
      </c>
    </row>
    <row r="53" spans="1:8" s="2" customFormat="1" ht="11.25">
      <c r="A53" s="3" t="s">
        <v>46</v>
      </c>
      <c r="B53" s="3"/>
      <c r="C53" s="13">
        <f aca="true" t="shared" si="15" ref="C53:H53">(C10+C14)/C15</f>
        <v>1.5483889594641413</v>
      </c>
      <c r="D53" s="13">
        <f t="shared" si="15"/>
        <v>1.4826908116518283</v>
      </c>
      <c r="E53" s="13">
        <f t="shared" si="15"/>
        <v>1.4693575201022357</v>
      </c>
      <c r="F53" s="13">
        <f t="shared" si="15"/>
        <v>1.377563245933367</v>
      </c>
      <c r="G53" s="13">
        <f t="shared" si="15"/>
        <v>1.3757417780489158</v>
      </c>
      <c r="H53" s="13">
        <f t="shared" si="15"/>
        <v>1.7546723444523302</v>
      </c>
    </row>
    <row r="54" s="2" customFormat="1" ht="11.25">
      <c r="A54" s="5" t="s">
        <v>47</v>
      </c>
    </row>
    <row r="55" spans="1:8" s="2" customFormat="1" ht="11.25">
      <c r="A55" s="2" t="s">
        <v>48</v>
      </c>
      <c r="C55" s="9">
        <f>C38/C26</f>
        <v>0.3077669449345777</v>
      </c>
      <c r="D55" s="9">
        <f>(D38/0.75)/D26</f>
        <v>0.23874240665150187</v>
      </c>
      <c r="E55" s="9">
        <f>(E38/0.5)/E26</f>
        <v>0.27406971823632537</v>
      </c>
      <c r="F55" s="9">
        <f>((F38)/0.25)/F26</f>
        <v>0.17086163465102908</v>
      </c>
      <c r="G55" s="9">
        <f>G38/G26</f>
        <v>0.1640923599400139</v>
      </c>
      <c r="H55" s="9">
        <f>H38/H26</f>
        <v>0.27085035883567854</v>
      </c>
    </row>
    <row r="56" spans="1:8" s="2" customFormat="1" ht="11.25">
      <c r="A56" s="2" t="s">
        <v>49</v>
      </c>
      <c r="C56" s="9">
        <f>C38/C25</f>
        <v>0.19892687912292112</v>
      </c>
      <c r="D56" s="9">
        <f>(D38/0.75)/D25</f>
        <v>0.21373516849343954</v>
      </c>
      <c r="E56" s="9">
        <f>(E38/0.5)/E25</f>
        <v>0.2474170542635659</v>
      </c>
      <c r="F56" s="9">
        <f>((F38)/0.25)/F25</f>
        <v>0.15170544222799875</v>
      </c>
      <c r="G56" s="9">
        <f>G38/G25</f>
        <v>0.1425410640018045</v>
      </c>
      <c r="H56" s="9">
        <f>H38/H25</f>
        <v>0.18810787940704507</v>
      </c>
    </row>
    <row r="57" spans="1:8" s="2" customFormat="1" ht="11.25">
      <c r="A57" s="2" t="s">
        <v>50</v>
      </c>
      <c r="C57" s="9">
        <f>C38/C29</f>
        <v>0.3602081116434006</v>
      </c>
      <c r="D57" s="9">
        <f>(D38/0.75)/D29</f>
        <v>0.381560093139889</v>
      </c>
      <c r="E57" s="9">
        <f>(E38/0.5)/E29</f>
        <v>0.44196104149311405</v>
      </c>
      <c r="F57" s="9">
        <f>((F38)/0.25)/F29</f>
        <v>0.27348925871590496</v>
      </c>
      <c r="G57" s="9">
        <f>G38/G29</f>
        <v>0.25303232076014975</v>
      </c>
      <c r="H57" s="9">
        <f>H38/H29</f>
        <v>0.3566872126015067</v>
      </c>
    </row>
    <row r="58" spans="1:8" s="2" customFormat="1" ht="11.25">
      <c r="A58" s="2" t="s">
        <v>51</v>
      </c>
      <c r="C58" s="9">
        <f>C31/C25</f>
        <v>0.04192139737991266</v>
      </c>
      <c r="D58" s="9">
        <f>(D31/0.75)/D25</f>
        <v>0.04171359995359582</v>
      </c>
      <c r="E58" s="9">
        <f>(E31/0.5)/E25</f>
        <v>0.04217054263565891</v>
      </c>
      <c r="F58" s="9">
        <f>((F31)/0.25)/F25</f>
        <v>0.04250323309654195</v>
      </c>
      <c r="G58" s="9">
        <f>G31/G25</f>
        <v>0.03629801782713709</v>
      </c>
      <c r="H58" s="9">
        <f>H31/H25</f>
        <v>0.038734011320423714</v>
      </c>
    </row>
    <row r="59" spans="1:8" s="2" customFormat="1" ht="11.25">
      <c r="A59" s="2" t="s">
        <v>52</v>
      </c>
      <c r="C59" s="9">
        <f>C32/C25</f>
        <v>0.026465669423023322</v>
      </c>
      <c r="D59" s="9">
        <f>(D32/0.75)/D25</f>
        <v>0.026488010553816704</v>
      </c>
      <c r="E59" s="9">
        <f>(E32/0.5)/E25</f>
        <v>0.02697922480620155</v>
      </c>
      <c r="F59" s="9">
        <f>((F32)/0.25)/F25</f>
        <v>0.028404599679152424</v>
      </c>
      <c r="G59" s="9">
        <f>G32/G25</f>
        <v>0.025922086743189368</v>
      </c>
      <c r="H59" s="9">
        <f>H32/H25</f>
        <v>0.028409413391534966</v>
      </c>
    </row>
    <row r="60" spans="1:8" s="2" customFormat="1" ht="11.25">
      <c r="A60" s="2" t="s">
        <v>53</v>
      </c>
      <c r="C60" s="9">
        <f>C33/C25</f>
        <v>0.015455727956889343</v>
      </c>
      <c r="D60" s="9">
        <f>(D33)/0.75/D25</f>
        <v>0.01522558939977911</v>
      </c>
      <c r="E60" s="9">
        <f>(E33/0.5)/E25</f>
        <v>0.015191317829457365</v>
      </c>
      <c r="F60" s="9">
        <f>((F33)/0.25)/F25</f>
        <v>0.014098633417389523</v>
      </c>
      <c r="G60" s="9">
        <f>G33/G25</f>
        <v>0.01037593108394772</v>
      </c>
      <c r="H60" s="9">
        <f>H33/H25</f>
        <v>0.010324597928888752</v>
      </c>
    </row>
    <row r="61" spans="1:8" s="2" customFormat="1" ht="11.25">
      <c r="A61" s="2" t="s">
        <v>54</v>
      </c>
      <c r="C61" s="9">
        <f>C36/C35</f>
        <v>0.09238663818062016</v>
      </c>
      <c r="D61" s="9">
        <f>(D36/0.75)/(D35/0.75)</f>
        <v>0.09038232570445827</v>
      </c>
      <c r="E61" s="9">
        <f>(E36/0.5)/(E35/0.5)</f>
        <v>0.08885351470641438</v>
      </c>
      <c r="F61" s="9">
        <f>(F36/0.25)/(F35/0.25)</f>
        <v>0.14103003311636406</v>
      </c>
      <c r="G61" s="9">
        <f>G36/G35</f>
        <v>0.1496881496881497</v>
      </c>
      <c r="H61" s="9">
        <f>H36/H35</f>
        <v>0.08178017328228894</v>
      </c>
    </row>
    <row r="62" spans="1:8" s="2" customFormat="1" ht="11.25">
      <c r="A62" s="3" t="s">
        <v>55</v>
      </c>
      <c r="B62" s="3"/>
      <c r="C62" s="11">
        <f>C34/C25</f>
        <v>0.21720709839264146</v>
      </c>
      <c r="D62" s="11">
        <f>(D34/0.75)/D25</f>
        <v>0.22178065086572807</v>
      </c>
      <c r="E62" s="11">
        <f>(E34/0.5)/E25</f>
        <v>0.25907596899224805</v>
      </c>
      <c r="F62" s="11">
        <f>(F34/0.25)/F25</f>
        <v>0.16746273840037526</v>
      </c>
      <c r="G62" s="11">
        <f>G34/G25</f>
        <v>0.15785405267039565</v>
      </c>
      <c r="H62" s="11">
        <f>H34/H25</f>
        <v>0.19453688941174044</v>
      </c>
    </row>
    <row r="63" s="2" customFormat="1" ht="11.25">
      <c r="A63" s="5" t="s">
        <v>56</v>
      </c>
    </row>
    <row r="64" spans="1:8" s="2" customFormat="1" ht="11.25">
      <c r="A64" s="2" t="s">
        <v>57</v>
      </c>
      <c r="C64" s="7">
        <v>147</v>
      </c>
      <c r="D64" s="7">
        <v>151</v>
      </c>
      <c r="E64" s="7">
        <v>153</v>
      </c>
      <c r="F64" s="7">
        <v>136</v>
      </c>
      <c r="G64" s="7">
        <v>133</v>
      </c>
      <c r="H64" s="7">
        <v>67</v>
      </c>
    </row>
    <row r="65" spans="1:8" s="2" customFormat="1" ht="11.25">
      <c r="A65" s="2" t="s">
        <v>58</v>
      </c>
      <c r="C65" s="7">
        <v>1</v>
      </c>
      <c r="D65" s="7">
        <v>1</v>
      </c>
      <c r="E65" s="7">
        <v>1</v>
      </c>
      <c r="F65" s="7">
        <v>1</v>
      </c>
      <c r="G65" s="7">
        <v>1</v>
      </c>
      <c r="H65" s="7">
        <v>1</v>
      </c>
    </row>
    <row r="66" spans="1:8" s="2" customFormat="1" ht="11.25">
      <c r="A66" s="2" t="s">
        <v>59</v>
      </c>
      <c r="C66" s="7">
        <f aca="true" t="shared" si="16" ref="C66:H66">C11/C64</f>
        <v>562.9591836734694</v>
      </c>
      <c r="D66" s="7">
        <f t="shared" si="16"/>
        <v>542.5364238410596</v>
      </c>
      <c r="E66" s="7">
        <f t="shared" si="16"/>
        <v>530.2222222222222</v>
      </c>
      <c r="F66" s="7">
        <f t="shared" si="16"/>
        <v>566.5441176470588</v>
      </c>
      <c r="G66" s="7">
        <f t="shared" si="16"/>
        <v>585.593984962406</v>
      </c>
      <c r="H66" s="7">
        <f t="shared" si="16"/>
        <v>817.7313432835821</v>
      </c>
    </row>
    <row r="67" spans="1:8" s="2" customFormat="1" ht="11.25">
      <c r="A67" s="2" t="s">
        <v>60</v>
      </c>
      <c r="C67" s="7">
        <f aca="true" t="shared" si="17" ref="C67:H67">C15/C64</f>
        <v>589.047619047619</v>
      </c>
      <c r="D67" s="7">
        <f t="shared" si="17"/>
        <v>612.9271523178808</v>
      </c>
      <c r="E67" s="7">
        <f t="shared" si="17"/>
        <v>577.9281045751634</v>
      </c>
      <c r="F67" s="7">
        <f t="shared" si="17"/>
        <v>638.2647058823529</v>
      </c>
      <c r="G67" s="7">
        <f t="shared" si="17"/>
        <v>677.8571428571429</v>
      </c>
      <c r="H67" s="7">
        <f t="shared" si="17"/>
        <v>1072.5223880597016</v>
      </c>
    </row>
    <row r="68" spans="1:8" s="2" customFormat="1" ht="11.25">
      <c r="A68" s="3" t="s">
        <v>61</v>
      </c>
      <c r="B68" s="3"/>
      <c r="C68" s="8">
        <f aca="true" t="shared" si="18" ref="C68:H68">(C38/C64)</f>
        <v>291.29931972789115</v>
      </c>
      <c r="D68" s="8">
        <f t="shared" si="18"/>
        <v>225.72185430463577</v>
      </c>
      <c r="E68" s="8">
        <f t="shared" si="18"/>
        <v>162.9738562091503</v>
      </c>
      <c r="F68" s="8">
        <f t="shared" si="18"/>
        <v>53.8014705882353</v>
      </c>
      <c r="G68" s="8">
        <f t="shared" si="18"/>
        <v>211.4360902255639</v>
      </c>
      <c r="H68" s="8">
        <f t="shared" si="18"/>
        <v>544.1343283582089</v>
      </c>
    </row>
    <row r="69" s="2" customFormat="1" ht="11.25">
      <c r="A69" s="5" t="s">
        <v>62</v>
      </c>
    </row>
    <row r="70" spans="1:8" s="2" customFormat="1" ht="11.25">
      <c r="A70" s="2" t="s">
        <v>63</v>
      </c>
      <c r="C70" s="9">
        <f>(C9/G9)-1</f>
        <v>0.06362673338989477</v>
      </c>
      <c r="D70" s="9">
        <f>(D9/200042)-1</f>
        <v>0.12579358334749702</v>
      </c>
      <c r="E70" s="9">
        <f>(E9/186182)-1</f>
        <v>0.16522005349604152</v>
      </c>
      <c r="F70" s="9">
        <f>(F9/183276)-1</f>
        <v>0.1053111154761126</v>
      </c>
      <c r="G70" s="9">
        <f>(G9/H9)-1</f>
        <v>0.1219668287226261</v>
      </c>
      <c r="H70" s="9">
        <f>(H9/201674)-1</f>
        <v>-0.07799716373950039</v>
      </c>
    </row>
    <row r="71" spans="1:8" s="2" customFormat="1" ht="11.25">
      <c r="A71" s="2" t="s">
        <v>64</v>
      </c>
      <c r="C71" s="9">
        <f>(C11/G11)-1</f>
        <v>0.06254172872477026</v>
      </c>
      <c r="D71" s="9">
        <f>D11/70651-1</f>
        <v>0.1595448047444481</v>
      </c>
      <c r="E71" s="9">
        <f>E11/67309-1</f>
        <v>0.2052474409068623</v>
      </c>
      <c r="F71" s="9">
        <f>F11/62461-1</f>
        <v>0.23356974752245407</v>
      </c>
      <c r="G71" s="9">
        <f>(G11/H11)-1</f>
        <v>0.42155216470760015</v>
      </c>
      <c r="H71" s="9">
        <f>H11/22637-1</f>
        <v>1.4202853735035563</v>
      </c>
    </row>
    <row r="72" spans="2:8" s="2" customFormat="1" ht="11.25">
      <c r="B72" s="2" t="s">
        <v>13</v>
      </c>
      <c r="C72" s="9">
        <f>(C12/G12)-1</f>
        <v>0.005045425878261955</v>
      </c>
      <c r="D72" s="9">
        <f>(D12/52962)-1</f>
        <v>0.11385521694800049</v>
      </c>
      <c r="E72" s="9">
        <f>(E12/47614)-1</f>
        <v>0.25570210442306895</v>
      </c>
      <c r="F72" s="9">
        <f>(F12/41312)-1</f>
        <v>0.4280354376452362</v>
      </c>
      <c r="G72" s="9">
        <f>(G12/H12)-1</f>
        <v>0.5702317863069428</v>
      </c>
      <c r="H72" s="9">
        <f>(H12/17199)-1</f>
        <v>1.1723356009070294</v>
      </c>
    </row>
    <row r="73" spans="2:8" s="2" customFormat="1" ht="11.25">
      <c r="B73" s="2" t="s">
        <v>14</v>
      </c>
      <c r="C73" s="9">
        <f>(C13/G13)-1</f>
        <v>0.23807045844824892</v>
      </c>
      <c r="D73" s="9">
        <f>(D13/17670)-1</f>
        <v>0.29773627617430676</v>
      </c>
      <c r="E73" s="9">
        <f>(E13/19695)-1</f>
        <v>0.08326986544808324</v>
      </c>
      <c r="F73" s="9">
        <f>(F13/21149)-1</f>
        <v>-0.14629533311267673</v>
      </c>
      <c r="G73" s="9">
        <f>(G13/H13)-1</f>
        <v>0.1027774589693562</v>
      </c>
      <c r="H73" s="9">
        <f>(H13/5438)-1</f>
        <v>2.204486943729312</v>
      </c>
    </row>
    <row r="74" spans="1:8" s="2" customFormat="1" ht="11.25">
      <c r="A74" s="2" t="s">
        <v>65</v>
      </c>
      <c r="C74" s="9">
        <f>(C15/G15)-1</f>
        <v>-0.039543009261826856</v>
      </c>
      <c r="D74" s="9">
        <f>D15/84731-1</f>
        <v>0.09230387933578021</v>
      </c>
      <c r="E74" s="9">
        <f>E15/79997-1</f>
        <v>0.10532894983561891</v>
      </c>
      <c r="F74" s="9">
        <f>F15/76743-1</f>
        <v>0.13109990487731782</v>
      </c>
      <c r="G74" s="9">
        <f>(G15/H15)-1</f>
        <v>0.2546097218163348</v>
      </c>
      <c r="H74" s="9">
        <f>H15/104188-1</f>
        <v>-0.3102948516143894</v>
      </c>
    </row>
    <row r="75" spans="2:8" s="2" customFormat="1" ht="11.25">
      <c r="B75" s="2" t="s">
        <v>13</v>
      </c>
      <c r="C75" s="9">
        <f>(C16/G16)-1</f>
        <v>0.37361842485967256</v>
      </c>
      <c r="D75" s="9">
        <f>(D16/34979)-1</f>
        <v>0.36945024157351547</v>
      </c>
      <c r="E75" s="9">
        <f>(E16/37051)-1</f>
        <v>-0.06339909853985048</v>
      </c>
      <c r="F75" s="9">
        <f>(F16/32757)-1</f>
        <v>-0.11795952010257349</v>
      </c>
      <c r="G75" s="9">
        <f>(G16/H16)-1</f>
        <v>0.037306041597887196</v>
      </c>
      <c r="H75" s="9">
        <f>(H16/11550)-1</f>
        <v>1.8847619047619046</v>
      </c>
    </row>
    <row r="76" spans="2:8" s="2" customFormat="1" ht="11.25">
      <c r="B76" s="2" t="s">
        <v>14</v>
      </c>
      <c r="C76" s="9">
        <f>(C20/G20)-1</f>
        <v>-0.2964042235533251</v>
      </c>
      <c r="D76" s="9">
        <f>(D20/49752)-1</f>
        <v>-0.10254864126065288</v>
      </c>
      <c r="E76" s="9">
        <f>(E20/42946)-1</f>
        <v>0.25089647464257436</v>
      </c>
      <c r="F76" s="9">
        <f>(F20/43987)-1</f>
        <v>0.31654807102098337</v>
      </c>
      <c r="G76" s="9">
        <f>(G20/H20)-1</f>
        <v>0.44247535028541773</v>
      </c>
      <c r="H76" s="9">
        <f>(H20/92637)-1</f>
        <v>-0.5839675291730086</v>
      </c>
    </row>
    <row r="77" spans="1:8" s="2" customFormat="1" ht="11.25">
      <c r="A77" s="2" t="s">
        <v>66</v>
      </c>
      <c r="C77" s="9">
        <f>(C23/G23)-1</f>
        <v>0.13334469887301692</v>
      </c>
      <c r="D77" s="9">
        <f>(D23/108201)-1</f>
        <v>0.20153233334257536</v>
      </c>
      <c r="E77" s="9">
        <f>(E23/102365)-1</f>
        <v>0.20461095100864557</v>
      </c>
      <c r="F77" s="9">
        <f>(F23/102613)-1</f>
        <v>0.08583707717345757</v>
      </c>
      <c r="G77" s="9">
        <f>(G23/H23)-1</f>
        <v>0.0056305493394932515</v>
      </c>
      <c r="H77" s="9">
        <f>(H23/93596)-1</f>
        <v>0.1840676952006497</v>
      </c>
    </row>
    <row r="78" spans="1:8" s="2" customFormat="1" ht="11.25">
      <c r="A78" s="3" t="s">
        <v>67</v>
      </c>
      <c r="B78" s="3"/>
      <c r="C78" s="11">
        <f>(C38/G38)-1</f>
        <v>0.5227410120550477</v>
      </c>
      <c r="D78" s="11">
        <f>(D38/20758)-1</f>
        <v>0.6419693612101358</v>
      </c>
      <c r="E78" s="11">
        <f>(E38/11751)-1</f>
        <v>1.12194706833461</v>
      </c>
      <c r="F78" s="11">
        <f>(F38/6907)-1</f>
        <v>0.059360069494715395</v>
      </c>
      <c r="G78" s="11">
        <f>(G38/H38)-1</f>
        <v>-0.22865293359299999</v>
      </c>
      <c r="H78" s="11">
        <f>(H38/4087)-1</f>
        <v>7.920234891118179</v>
      </c>
    </row>
    <row r="79" s="2" customFormat="1" ht="11.25"/>
    <row r="80" s="2" customFormat="1" ht="11.25"/>
    <row r="81" s="2" customFormat="1" ht="11.25"/>
    <row r="82" s="2" customFormat="1" ht="11.25"/>
    <row r="83" s="2" customFormat="1" ht="11.25"/>
    <row r="84" s="2" customFormat="1" ht="11.25"/>
    <row r="85" s="2" customFormat="1" ht="11.25"/>
    <row r="86" s="2" customFormat="1" ht="11.25"/>
    <row r="87" s="2" customFormat="1" ht="11.25"/>
    <row r="88" s="2" customFormat="1" ht="11.25"/>
    <row r="89" s="2" customFormat="1" ht="11.25"/>
    <row r="90" s="2" customFormat="1" ht="11.25"/>
    <row r="91" s="2" customFormat="1" ht="11.25"/>
    <row r="92" s="2" customFormat="1" ht="11.25"/>
    <row r="93" s="2" customFormat="1" ht="11.25"/>
    <row r="94" s="2" customFormat="1" ht="11.25"/>
    <row r="95" s="2" customFormat="1" ht="11.25"/>
    <row r="96" s="2" customFormat="1" ht="11.25"/>
    <row r="97" s="2" customFormat="1" ht="11.25"/>
    <row r="98" s="2" customFormat="1" ht="11.25"/>
    <row r="99" s="2" customFormat="1" ht="11.25"/>
    <row r="100" s="2" customFormat="1" ht="11.25"/>
    <row r="101" s="2" customFormat="1" ht="11.25"/>
    <row r="102" s="2" customFormat="1" ht="11.25"/>
    <row r="103" s="2" customFormat="1" ht="11.25"/>
    <row r="104" s="2" customFormat="1" ht="11.25"/>
    <row r="105" s="2" customFormat="1" ht="11.25"/>
    <row r="106" s="2" customFormat="1" ht="11.25"/>
    <row r="107" s="2" customFormat="1" ht="11.25"/>
    <row r="108" s="2" customFormat="1" ht="11.25"/>
    <row r="109" s="2" customFormat="1" ht="11.25"/>
    <row r="110" s="2" customFormat="1" ht="11.25"/>
    <row r="111" s="2" customFormat="1" ht="11.25"/>
    <row r="112" s="2" customFormat="1" ht="11.25"/>
    <row r="113" s="2" customFormat="1" ht="11.25"/>
    <row r="114" s="2" customFormat="1" ht="11.25"/>
    <row r="115" s="2" customFormat="1" ht="11.25"/>
    <row r="116" s="2" customFormat="1" ht="11.25"/>
    <row r="117" s="2" customFormat="1" ht="11.25"/>
    <row r="118" s="2" customFormat="1" ht="11.25"/>
    <row r="119" s="2" customFormat="1" ht="11.25"/>
    <row r="120" s="2" customFormat="1" ht="11.25"/>
    <row r="121" s="2" customFormat="1" ht="11.25"/>
    <row r="122" s="2" customFormat="1" ht="11.25"/>
    <row r="123" s="2" customFormat="1" ht="11.25"/>
    <row r="124" s="2" customFormat="1" ht="11.25"/>
    <row r="125" s="2" customFormat="1" ht="11.25"/>
    <row r="126" s="2" customFormat="1" ht="11.25"/>
    <row r="127" s="2" customFormat="1" ht="11.25"/>
    <row r="128" s="2" customFormat="1" ht="11.25"/>
    <row r="129" s="2" customFormat="1" ht="11.25"/>
    <row r="130" s="2" customFormat="1" ht="11.25"/>
    <row r="131" s="2" customFormat="1" ht="11.25"/>
    <row r="132" s="2" customFormat="1" ht="11.25"/>
    <row r="133" s="2" customFormat="1" ht="11.25"/>
    <row r="134" s="2" customFormat="1" ht="11.25"/>
    <row r="135" s="2" customFormat="1" ht="11.25"/>
    <row r="136" s="2" customFormat="1" ht="11.25"/>
    <row r="137" s="2" customFormat="1" ht="11.25"/>
    <row r="138" s="2" customFormat="1" ht="11.25"/>
    <row r="139" s="2" customFormat="1" ht="11.25"/>
    <row r="140" s="2" customFormat="1" ht="11.25"/>
    <row r="141" s="2" customFormat="1" ht="11.25"/>
    <row r="142" s="2" customFormat="1" ht="11.25"/>
    <row r="143" s="2" customFormat="1" ht="11.25"/>
    <row r="144" s="2" customFormat="1" ht="11.25"/>
    <row r="145" s="2" customFormat="1" ht="11.25"/>
    <row r="146" s="2" customFormat="1" ht="11.25"/>
    <row r="147" s="2" customFormat="1" ht="11.25"/>
    <row r="148" s="2" customFormat="1" ht="11.25"/>
    <row r="149" s="2" customFormat="1" ht="11.25"/>
    <row r="150" s="2" customFormat="1" ht="11.25"/>
    <row r="151" s="2" customFormat="1" ht="11.25"/>
    <row r="152" s="2" customFormat="1" ht="11.25"/>
    <row r="153" s="2" customFormat="1" ht="11.25"/>
    <row r="154" s="2" customFormat="1" ht="11.25"/>
    <row r="155" s="2" customFormat="1" ht="11.25"/>
    <row r="156" s="2" customFormat="1" ht="11.25"/>
    <row r="157" s="2" customFormat="1" ht="11.25"/>
    <row r="158" s="2" customFormat="1" ht="11.25"/>
    <row r="159" s="2" customFormat="1" ht="11.25"/>
    <row r="160" s="2" customFormat="1" ht="11.25"/>
    <row r="161" s="2" customFormat="1" ht="11.25"/>
    <row r="162" s="2" customFormat="1" ht="11.25"/>
    <row r="163" s="2" customFormat="1" ht="11.25"/>
    <row r="164" s="2" customFormat="1" ht="11.25"/>
    <row r="165" s="2" customFormat="1" ht="11.25"/>
  </sheetData>
  <sheetProtection password="CD66" sheet="1" objects="1" scenarios="1"/>
  <printOptions horizontalCentered="1"/>
  <pageMargins left="0.75" right="0.75" top="0.3937007874015748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2002-04-24T20:11:50Z</cp:lastPrinted>
  <dcterms:created xsi:type="dcterms:W3CDTF">2002-03-08T14:40:24Z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