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Un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<sst xmlns="http://schemas.openxmlformats.org/spreadsheetml/2006/main" count="80" uniqueCount="68">
  <si>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18-50    BANCO UNO,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</si>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</sst>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11.421875" defaultRowHeight="12.75"/>
  <cols>
    <col min="1" max="1" width="3.7109375" style="1" customWidth="1"/>
    <col min="2" max="2" width="34.57421875" style="1" customWidth="1"/>
    <col min="3" max="3" width="11.57421875" style="1" customWidth="1"/>
    <col min="4" max="4" width="9.140625" style="1" customWidth="1"/>
    <col min="5" max="5" width="9.57421875" style="1" customWidth="1"/>
    <col min="6" max="6" width="9.28125" style="1" customWidth="1"/>
    <col min="7" max="7" width="11.7109375" style="1" customWidth="1"/>
    <col min="8" max="8" width="11.57421875" style="1" customWidth="1"/>
    <col min="9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5"/>
      <c r="B6" s="15"/>
      <c r="C6" s="15"/>
      <c r="D6" s="15"/>
      <c r="E6" s="15"/>
      <c r="F6" s="15"/>
      <c r="G6" s="15"/>
      <c r="H6" s="15"/>
    </row>
    <row r="7" spans="1:8" s="2" customFormat="1" ht="11.25">
      <c r="A7" s="16"/>
      <c r="B7" s="16"/>
      <c r="C7" s="16"/>
      <c r="D7" s="16"/>
      <c r="E7" s="16"/>
      <c r="F7" s="16"/>
      <c r="G7" s="16"/>
      <c r="H7" s="16"/>
    </row>
    <row r="8" spans="1:8" s="2" customFormat="1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s="2" customFormat="1" ht="11.25">
      <c r="A9" s="5" t="s">
        <v>9</v>
      </c>
      <c r="B9" s="5"/>
      <c r="C9" s="6"/>
      <c r="D9" s="6"/>
      <c r="E9" s="6"/>
      <c r="F9" s="6"/>
      <c r="G9" s="6"/>
      <c r="H9" s="6"/>
    </row>
    <row r="10" spans="1:8" s="2" customFormat="1" ht="11.25">
      <c r="A10" s="2" t="s">
        <v>10</v>
      </c>
      <c r="C10" s="7">
        <v>67756</v>
      </c>
      <c r="D10" s="7">
        <v>50663</v>
      </c>
      <c r="E10" s="7">
        <v>46045</v>
      </c>
      <c r="F10" s="7">
        <v>38322</v>
      </c>
      <c r="G10" s="7">
        <v>40634</v>
      </c>
      <c r="H10" s="7">
        <v>36863</v>
      </c>
    </row>
    <row r="11" spans="1:8" s="2" customFormat="1" ht="11.25">
      <c r="A11" s="2" t="s">
        <v>11</v>
      </c>
      <c r="C11" s="7">
        <v>18924</v>
      </c>
      <c r="D11" s="7">
        <v>12556</v>
      </c>
      <c r="E11" s="7">
        <v>7886</v>
      </c>
      <c r="F11" s="7">
        <v>7987</v>
      </c>
      <c r="G11" s="7">
        <v>10713</v>
      </c>
      <c r="H11" s="7">
        <v>12801</v>
      </c>
    </row>
    <row r="12" spans="1:8" s="2" customFormat="1" ht="11.25">
      <c r="A12" s="2" t="s">
        <v>12</v>
      </c>
      <c r="C12" s="7">
        <f aca="true" t="shared" si="0" ref="C12:H12">C13+C14</f>
        <v>44403</v>
      </c>
      <c r="D12" s="7">
        <f t="shared" si="0"/>
        <v>35254</v>
      </c>
      <c r="E12" s="7">
        <f t="shared" si="0"/>
        <v>36050</v>
      </c>
      <c r="F12" s="7">
        <f t="shared" si="0"/>
        <v>28532</v>
      </c>
      <c r="G12" s="7">
        <f t="shared" si="0"/>
        <v>28144</v>
      </c>
      <c r="H12" s="7">
        <f t="shared" si="0"/>
        <v>22347</v>
      </c>
    </row>
    <row r="13" spans="2:8" s="2" customFormat="1" ht="11.25">
      <c r="B13" s="2" t="s">
        <v>13</v>
      </c>
      <c r="C13" s="7">
        <v>32892</v>
      </c>
      <c r="D13" s="7">
        <v>30611</v>
      </c>
      <c r="E13" s="7">
        <v>31407</v>
      </c>
      <c r="F13" s="7">
        <v>23870</v>
      </c>
      <c r="G13" s="7">
        <v>23479</v>
      </c>
      <c r="H13" s="7">
        <v>17691</v>
      </c>
    </row>
    <row r="14" spans="2:8" s="2" customFormat="1" ht="11.25">
      <c r="B14" s="2" t="s">
        <v>14</v>
      </c>
      <c r="C14" s="7">
        <v>11511</v>
      </c>
      <c r="D14" s="7">
        <v>4643</v>
      </c>
      <c r="E14" s="7">
        <v>4643</v>
      </c>
      <c r="F14" s="7">
        <v>4662</v>
      </c>
      <c r="G14" s="7">
        <v>4665</v>
      </c>
      <c r="H14" s="7">
        <v>4656</v>
      </c>
    </row>
    <row r="15" spans="1:8" s="2" customFormat="1" ht="11.25">
      <c r="A15" s="2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s="2" customFormat="1" ht="11.25">
      <c r="A16" s="2" t="s">
        <v>16</v>
      </c>
      <c r="C16" s="7">
        <f aca="true" t="shared" si="1" ref="C16:H16">C17+C21</f>
        <v>53516</v>
      </c>
      <c r="D16" s="7">
        <f t="shared" si="1"/>
        <v>37162</v>
      </c>
      <c r="E16" s="7">
        <f t="shared" si="1"/>
        <v>32769</v>
      </c>
      <c r="F16" s="7">
        <f t="shared" si="1"/>
        <v>26675</v>
      </c>
      <c r="G16" s="7">
        <f t="shared" si="1"/>
        <v>29199</v>
      </c>
      <c r="H16" s="7">
        <f t="shared" si="1"/>
        <v>29688</v>
      </c>
    </row>
    <row r="17" spans="2:8" s="2" customFormat="1" ht="11.25">
      <c r="B17" s="2" t="s">
        <v>13</v>
      </c>
      <c r="C17" s="7">
        <f aca="true" t="shared" si="2" ref="C17:H17">SUM(C18:C20)</f>
        <v>30678</v>
      </c>
      <c r="D17" s="7">
        <f t="shared" si="2"/>
        <v>25631</v>
      </c>
      <c r="E17" s="7">
        <f t="shared" si="2"/>
        <v>21319</v>
      </c>
      <c r="F17" s="7">
        <f t="shared" si="2"/>
        <v>17734</v>
      </c>
      <c r="G17" s="7">
        <f t="shared" si="2"/>
        <v>18122</v>
      </c>
      <c r="H17" s="7">
        <f t="shared" si="2"/>
        <v>12444</v>
      </c>
    </row>
    <row r="18" spans="2:8" s="2" customFormat="1" ht="11.25">
      <c r="B18" s="2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s="2" customFormat="1" ht="11.25">
      <c r="B19" s="2" t="s">
        <v>18</v>
      </c>
      <c r="C19" s="7">
        <v>30678</v>
      </c>
      <c r="D19" s="7">
        <v>25631</v>
      </c>
      <c r="E19" s="7">
        <v>21319</v>
      </c>
      <c r="F19" s="7">
        <v>17734</v>
      </c>
      <c r="G19" s="7">
        <v>18122</v>
      </c>
      <c r="H19" s="7">
        <v>12444</v>
      </c>
    </row>
    <row r="20" spans="2:8" s="2" customFormat="1" ht="11.25">
      <c r="B20" s="2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s="2" customFormat="1" ht="11.25">
      <c r="B21" s="2" t="s">
        <v>14</v>
      </c>
      <c r="C21" s="7">
        <f aca="true" t="shared" si="3" ref="C21:H21">SUM(C22:C23)</f>
        <v>22838</v>
      </c>
      <c r="D21" s="7">
        <f t="shared" si="3"/>
        <v>11531</v>
      </c>
      <c r="E21" s="7">
        <f t="shared" si="3"/>
        <v>11450</v>
      </c>
      <c r="F21" s="7">
        <f t="shared" si="3"/>
        <v>8941</v>
      </c>
      <c r="G21" s="7">
        <f t="shared" si="3"/>
        <v>11077</v>
      </c>
      <c r="H21" s="7">
        <f t="shared" si="3"/>
        <v>17244</v>
      </c>
    </row>
    <row r="22" spans="2:8" s="2" customFormat="1" ht="11.25">
      <c r="B22" s="2" t="s">
        <v>18</v>
      </c>
      <c r="C22" s="7">
        <v>10465</v>
      </c>
      <c r="D22" s="7">
        <v>6616</v>
      </c>
      <c r="E22" s="7">
        <v>5932</v>
      </c>
      <c r="F22" s="7">
        <v>4441</v>
      </c>
      <c r="G22" s="7">
        <v>4861</v>
      </c>
      <c r="H22" s="7">
        <v>12073</v>
      </c>
    </row>
    <row r="23" spans="2:8" s="2" customFormat="1" ht="11.25">
      <c r="B23" s="2" t="s">
        <v>19</v>
      </c>
      <c r="C23" s="7">
        <v>12373</v>
      </c>
      <c r="D23" s="7">
        <v>4915</v>
      </c>
      <c r="E23" s="7">
        <v>5518</v>
      </c>
      <c r="F23" s="7">
        <v>4500</v>
      </c>
      <c r="G23" s="7">
        <v>6216</v>
      </c>
      <c r="H23" s="7">
        <v>5171</v>
      </c>
    </row>
    <row r="24" spans="1:8" s="2" customFormat="1" ht="11.25">
      <c r="A24" s="3" t="s">
        <v>20</v>
      </c>
      <c r="B24" s="3"/>
      <c r="C24" s="8">
        <v>10998</v>
      </c>
      <c r="D24" s="8">
        <v>10704</v>
      </c>
      <c r="E24" s="8">
        <v>10498</v>
      </c>
      <c r="F24" s="8">
        <v>10201</v>
      </c>
      <c r="G24" s="8">
        <v>9880</v>
      </c>
      <c r="H24" s="8">
        <v>5541</v>
      </c>
    </row>
    <row r="25" spans="1:8" s="2" customFormat="1" ht="11.25">
      <c r="A25" s="5" t="s">
        <v>21</v>
      </c>
      <c r="C25" s="7"/>
      <c r="D25" s="7"/>
      <c r="E25" s="7"/>
      <c r="F25" s="7"/>
      <c r="G25" s="7"/>
      <c r="H25" s="7"/>
    </row>
    <row r="26" spans="1:8" s="2" customFormat="1" ht="11.25">
      <c r="A26" s="2" t="s">
        <v>10</v>
      </c>
      <c r="C26" s="7">
        <f>(67756+40634)/2</f>
        <v>54195</v>
      </c>
      <c r="D26" s="7">
        <f>(D10+37477)/2</f>
        <v>44070</v>
      </c>
      <c r="E26" s="7">
        <f>(E10+33338)/2</f>
        <v>39691.5</v>
      </c>
      <c r="F26" s="7">
        <f>(F10+33849)/2</f>
        <v>36085.5</v>
      </c>
      <c r="G26" s="7">
        <f>(G10+H10)/2</f>
        <v>38748.5</v>
      </c>
      <c r="H26" s="7">
        <f>(H10+32079)/2</f>
        <v>34471</v>
      </c>
    </row>
    <row r="27" spans="1:8" s="2" customFormat="1" ht="11.25">
      <c r="A27" s="2" t="s">
        <v>22</v>
      </c>
      <c r="C27" s="7">
        <f aca="true" t="shared" si="4" ref="C27:H27">C28+C29</f>
        <v>36273.5</v>
      </c>
      <c r="D27" s="7">
        <f t="shared" si="4"/>
        <v>30936.5</v>
      </c>
      <c r="E27" s="7">
        <f t="shared" si="4"/>
        <v>30279</v>
      </c>
      <c r="F27" s="7">
        <f t="shared" si="4"/>
        <v>25748</v>
      </c>
      <c r="G27" s="7">
        <f t="shared" si="4"/>
        <v>25245.5</v>
      </c>
      <c r="H27" s="7">
        <f t="shared" si="4"/>
        <v>21228</v>
      </c>
    </row>
    <row r="28" spans="2:8" s="2" customFormat="1" ht="11.25">
      <c r="B28" s="2" t="s">
        <v>12</v>
      </c>
      <c r="C28" s="7">
        <f>(C12+G12)/2</f>
        <v>36273.5</v>
      </c>
      <c r="D28" s="7">
        <f>(D12+26619)/2</f>
        <v>30936.5</v>
      </c>
      <c r="E28" s="7">
        <f>(E12+24508)/2</f>
        <v>30279</v>
      </c>
      <c r="F28" s="7">
        <f>(F12+22964)/2</f>
        <v>25748</v>
      </c>
      <c r="G28" s="7">
        <f>(G12+H12)/2</f>
        <v>25245.5</v>
      </c>
      <c r="H28" s="7">
        <f>(H12+20109)/2</f>
        <v>21228</v>
      </c>
    </row>
    <row r="29" spans="2:8" s="2" customFormat="1" ht="11.25">
      <c r="B29" s="2" t="s">
        <v>15</v>
      </c>
      <c r="C29" s="7">
        <v>0</v>
      </c>
      <c r="D29" s="7">
        <v>0</v>
      </c>
      <c r="E29" s="7">
        <v>0</v>
      </c>
      <c r="F29" s="7">
        <v>0</v>
      </c>
      <c r="G29" s="7">
        <f>(G15+H15)/2</f>
        <v>0</v>
      </c>
      <c r="H29" s="7">
        <v>0</v>
      </c>
    </row>
    <row r="30" spans="1:8" s="2" customFormat="1" ht="11.25">
      <c r="A30" s="3" t="s">
        <v>20</v>
      </c>
      <c r="B30" s="3"/>
      <c r="C30" s="8">
        <f>(C24+G24)/2</f>
        <v>10439</v>
      </c>
      <c r="D30" s="8">
        <f>(D24+5948)/2</f>
        <v>8326</v>
      </c>
      <c r="E30" s="8">
        <f>(E24+5821)/2</f>
        <v>8159.5</v>
      </c>
      <c r="F30" s="8">
        <f>(F24+5666)/2</f>
        <v>7933.5</v>
      </c>
      <c r="G30" s="8">
        <f>(G24+H24)/2</f>
        <v>7710.5</v>
      </c>
      <c r="H30" s="8">
        <f>(H24+5233)/2</f>
        <v>5387</v>
      </c>
    </row>
    <row r="31" s="2" customFormat="1" ht="11.25">
      <c r="A31" s="5" t="s">
        <v>23</v>
      </c>
    </row>
    <row r="32" spans="1:8" s="2" customFormat="1" ht="11.25">
      <c r="A32" s="2" t="s">
        <v>24</v>
      </c>
      <c r="C32" s="7">
        <f>1676+D32</f>
        <v>6143</v>
      </c>
      <c r="D32" s="7">
        <f>1627+E32</f>
        <v>4467</v>
      </c>
      <c r="E32" s="7">
        <f>1461+F32</f>
        <v>2840</v>
      </c>
      <c r="F32" s="7">
        <v>1379</v>
      </c>
      <c r="G32" s="7">
        <v>4399</v>
      </c>
      <c r="H32" s="7">
        <v>4330</v>
      </c>
    </row>
    <row r="33" spans="1:8" s="2" customFormat="1" ht="11.25">
      <c r="A33" s="2" t="s">
        <v>25</v>
      </c>
      <c r="C33" s="7">
        <f>854+D33</f>
        <v>2902</v>
      </c>
      <c r="D33" s="7">
        <f>786+E33</f>
        <v>2048</v>
      </c>
      <c r="E33" s="7">
        <f>656+F33</f>
        <v>1262</v>
      </c>
      <c r="F33" s="7">
        <v>606</v>
      </c>
      <c r="G33" s="7">
        <v>2495</v>
      </c>
      <c r="H33" s="7">
        <v>2726</v>
      </c>
    </row>
    <row r="34" spans="1:8" s="2" customFormat="1" ht="11.25">
      <c r="A34" s="2" t="s">
        <v>26</v>
      </c>
      <c r="C34" s="7">
        <f aca="true" t="shared" si="5" ref="C34:H34">C32-C33</f>
        <v>3241</v>
      </c>
      <c r="D34" s="7">
        <f t="shared" si="5"/>
        <v>2419</v>
      </c>
      <c r="E34" s="7">
        <f t="shared" si="5"/>
        <v>1578</v>
      </c>
      <c r="F34" s="7">
        <f t="shared" si="5"/>
        <v>773</v>
      </c>
      <c r="G34" s="7">
        <f t="shared" si="5"/>
        <v>1904</v>
      </c>
      <c r="H34" s="7">
        <f t="shared" si="5"/>
        <v>1604</v>
      </c>
    </row>
    <row r="35" spans="1:8" s="2" customFormat="1" ht="11.25">
      <c r="A35" s="2" t="s">
        <v>27</v>
      </c>
      <c r="C35" s="7">
        <f>1246+D35</f>
        <v>3641</v>
      </c>
      <c r="D35" s="7">
        <f>911+E35</f>
        <v>2395</v>
      </c>
      <c r="E35" s="7">
        <f>835+F35</f>
        <v>1484</v>
      </c>
      <c r="F35" s="7">
        <v>649</v>
      </c>
      <c r="G35" s="7">
        <v>2020</v>
      </c>
      <c r="H35" s="7">
        <v>1588</v>
      </c>
    </row>
    <row r="36" spans="1:8" s="2" customFormat="1" ht="11.25">
      <c r="A36" s="2" t="s">
        <v>28</v>
      </c>
      <c r="C36" s="7">
        <f aca="true" t="shared" si="6" ref="C36:H36">C34+C35</f>
        <v>6882</v>
      </c>
      <c r="D36" s="7">
        <f t="shared" si="6"/>
        <v>4814</v>
      </c>
      <c r="E36" s="7">
        <f t="shared" si="6"/>
        <v>3062</v>
      </c>
      <c r="F36" s="7">
        <f t="shared" si="6"/>
        <v>1422</v>
      </c>
      <c r="G36" s="7">
        <f t="shared" si="6"/>
        <v>3924</v>
      </c>
      <c r="H36" s="7">
        <f t="shared" si="6"/>
        <v>3192</v>
      </c>
    </row>
    <row r="37" spans="1:8" s="2" customFormat="1" ht="11.25">
      <c r="A37" s="2" t="s">
        <v>29</v>
      </c>
      <c r="C37" s="7">
        <f>1361+D37</f>
        <v>4471</v>
      </c>
      <c r="D37" s="7">
        <f>1245+E37</f>
        <v>3110</v>
      </c>
      <c r="E37" s="7">
        <f>986+F37</f>
        <v>1865</v>
      </c>
      <c r="F37" s="7">
        <v>879</v>
      </c>
      <c r="G37" s="7">
        <v>3430</v>
      </c>
      <c r="H37" s="7">
        <v>2587</v>
      </c>
    </row>
    <row r="38" spans="1:8" s="2" customFormat="1" ht="11.25">
      <c r="A38" s="2" t="s">
        <v>30</v>
      </c>
      <c r="C38" s="7">
        <f aca="true" t="shared" si="7" ref="C38:H38">C36-C37</f>
        <v>2411</v>
      </c>
      <c r="D38" s="7">
        <f t="shared" si="7"/>
        <v>1704</v>
      </c>
      <c r="E38" s="7">
        <f t="shared" si="7"/>
        <v>1197</v>
      </c>
      <c r="F38" s="7">
        <f t="shared" si="7"/>
        <v>543</v>
      </c>
      <c r="G38" s="7">
        <f t="shared" si="7"/>
        <v>494</v>
      </c>
      <c r="H38" s="7">
        <f t="shared" si="7"/>
        <v>605</v>
      </c>
    </row>
    <row r="39" spans="1:8" s="2" customFormat="1" ht="11.25">
      <c r="A39" s="3" t="s">
        <v>31</v>
      </c>
      <c r="B39" s="3"/>
      <c r="C39" s="8">
        <f>291+D39</f>
        <v>1017</v>
      </c>
      <c r="D39" s="8">
        <f>205+E39</f>
        <v>726</v>
      </c>
      <c r="E39" s="8">
        <f>301+F39</f>
        <v>521</v>
      </c>
      <c r="F39" s="8">
        <v>220</v>
      </c>
      <c r="G39" s="8">
        <v>569</v>
      </c>
      <c r="H39" s="8">
        <v>327</v>
      </c>
    </row>
    <row r="40" spans="1:8" s="2" customFormat="1" ht="11.25">
      <c r="A40" s="5" t="s">
        <v>32</v>
      </c>
      <c r="C40" s="7"/>
      <c r="D40" s="7"/>
      <c r="E40" s="7"/>
      <c r="F40" s="7"/>
      <c r="G40" s="7"/>
      <c r="H40" s="7"/>
    </row>
    <row r="41" spans="1:8" s="2" customFormat="1" ht="11.25">
      <c r="A41" s="2" t="s">
        <v>33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s="2" customFormat="1" ht="11.25">
      <c r="A42" s="2" t="s">
        <v>34</v>
      </c>
      <c r="C42" s="7">
        <v>829</v>
      </c>
      <c r="D42" s="7">
        <v>918</v>
      </c>
      <c r="E42" s="7">
        <v>777</v>
      </c>
      <c r="F42" s="7">
        <v>537</v>
      </c>
      <c r="G42" s="7">
        <v>671</v>
      </c>
      <c r="H42" s="7">
        <v>1169</v>
      </c>
    </row>
    <row r="43" spans="1:8" s="2" customFormat="1" ht="11.25">
      <c r="A43" s="2" t="s">
        <v>35</v>
      </c>
      <c r="C43" s="9">
        <f aca="true" t="shared" si="8" ref="C43:H43">C41/C12</f>
        <v>0</v>
      </c>
      <c r="D43" s="9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</row>
    <row r="44" spans="1:8" s="2" customFormat="1" ht="11.25">
      <c r="A44" s="2" t="s">
        <v>36</v>
      </c>
      <c r="C44" s="9">
        <f aca="true" t="shared" si="9" ref="C44:H44">(C42)/C12</f>
        <v>0.01866990969078666</v>
      </c>
      <c r="D44" s="9">
        <f t="shared" si="9"/>
        <v>0.02603959834345039</v>
      </c>
      <c r="E44" s="9">
        <f t="shared" si="9"/>
        <v>0.02155339805825243</v>
      </c>
      <c r="F44" s="9">
        <f t="shared" si="9"/>
        <v>0.01882097294266087</v>
      </c>
      <c r="G44" s="9">
        <f t="shared" si="9"/>
        <v>0.023841671404206937</v>
      </c>
      <c r="H44" s="9">
        <f t="shared" si="9"/>
        <v>0.052311272206560164</v>
      </c>
    </row>
    <row r="45" spans="1:8" s="2" customFormat="1" ht="11.25">
      <c r="A45" s="10" t="s">
        <v>37</v>
      </c>
      <c r="C45" s="9">
        <f aca="true" t="shared" si="10" ref="C45:H45">(C41+C42)/C12</f>
        <v>0.01866990969078666</v>
      </c>
      <c r="D45" s="9">
        <f t="shared" si="10"/>
        <v>0.02603959834345039</v>
      </c>
      <c r="E45" s="9">
        <f t="shared" si="10"/>
        <v>0.02155339805825243</v>
      </c>
      <c r="F45" s="9">
        <f t="shared" si="10"/>
        <v>0.01882097294266087</v>
      </c>
      <c r="G45" s="9">
        <f t="shared" si="10"/>
        <v>0.023841671404206937</v>
      </c>
      <c r="H45" s="9">
        <f t="shared" si="10"/>
        <v>0.052311272206560164</v>
      </c>
    </row>
    <row r="46" spans="1:8" s="2" customFormat="1" ht="11.25">
      <c r="A46" s="2" t="s">
        <v>38</v>
      </c>
      <c r="C46" s="9">
        <v>0.0325</v>
      </c>
      <c r="D46" s="9">
        <v>0.0297</v>
      </c>
      <c r="E46" s="9">
        <v>0.0207</v>
      </c>
      <c r="F46" s="9">
        <v>0.0138</v>
      </c>
      <c r="G46" s="9">
        <v>0.0167</v>
      </c>
      <c r="H46" s="9">
        <f>(700/H12)</f>
        <v>0.0313241150937486</v>
      </c>
    </row>
    <row r="47" spans="1:8" s="2" customFormat="1" ht="11.25">
      <c r="A47" s="3" t="s">
        <v>39</v>
      </c>
      <c r="B47" s="3"/>
      <c r="C47" s="11">
        <v>1.7407</v>
      </c>
      <c r="D47" s="11">
        <v>1.1409</v>
      </c>
      <c r="E47" s="11">
        <v>0.9593</v>
      </c>
      <c r="F47" s="11">
        <v>0.7301</v>
      </c>
      <c r="G47" s="11">
        <v>0.6993</v>
      </c>
      <c r="H47" s="11">
        <f>700/(H41+H42)</f>
        <v>0.5988023952095808</v>
      </c>
    </row>
    <row r="48" s="2" customFormat="1" ht="11.25">
      <c r="A48" s="5" t="s">
        <v>40</v>
      </c>
    </row>
    <row r="49" spans="1:8" s="2" customFormat="1" ht="11.25">
      <c r="A49" s="2" t="s">
        <v>41</v>
      </c>
      <c r="C49" s="9">
        <f aca="true" t="shared" si="11" ref="C49:H49">C24/(C12+C15)</f>
        <v>0.2476859671643808</v>
      </c>
      <c r="D49" s="9">
        <f t="shared" si="11"/>
        <v>0.30362512055369606</v>
      </c>
      <c r="E49" s="9">
        <f t="shared" si="11"/>
        <v>0.29120665742024965</v>
      </c>
      <c r="F49" s="9">
        <f t="shared" si="11"/>
        <v>0.35752838917706437</v>
      </c>
      <c r="G49" s="9">
        <f t="shared" si="11"/>
        <v>0.3510517339397385</v>
      </c>
      <c r="H49" s="9">
        <f t="shared" si="11"/>
        <v>0.2479527453349443</v>
      </c>
    </row>
    <row r="50" spans="1:8" s="2" customFormat="1" ht="11.25">
      <c r="A50" s="3" t="s">
        <v>42</v>
      </c>
      <c r="B50" s="3"/>
      <c r="C50" s="11">
        <f aca="true" t="shared" si="12" ref="C50:H50">C24/C10</f>
        <v>0.16231772831926325</v>
      </c>
      <c r="D50" s="11">
        <f t="shared" si="12"/>
        <v>0.21127844778240532</v>
      </c>
      <c r="E50" s="11">
        <f t="shared" si="12"/>
        <v>0.22799435334998372</v>
      </c>
      <c r="F50" s="11">
        <f t="shared" si="12"/>
        <v>0.2661917436459475</v>
      </c>
      <c r="G50" s="11">
        <f t="shared" si="12"/>
        <v>0.24314613377959343</v>
      </c>
      <c r="H50" s="11">
        <f t="shared" si="12"/>
        <v>0.15031332230149472</v>
      </c>
    </row>
    <row r="51" spans="1:8" s="2" customFormat="1" ht="11.25">
      <c r="A51" s="5" t="s">
        <v>43</v>
      </c>
      <c r="C51" s="12"/>
      <c r="D51" s="12"/>
      <c r="E51" s="12"/>
      <c r="F51" s="12"/>
      <c r="G51" s="12"/>
      <c r="H51" s="12"/>
    </row>
    <row r="52" spans="1:8" s="2" customFormat="1" ht="11.25">
      <c r="A52" s="2" t="s">
        <v>44</v>
      </c>
      <c r="C52" s="12">
        <f aca="true" t="shared" si="13" ref="C52:H52">C11/C16</f>
        <v>0.3536138724867329</v>
      </c>
      <c r="D52" s="12">
        <f t="shared" si="13"/>
        <v>0.33787201980517734</v>
      </c>
      <c r="E52" s="12">
        <f t="shared" si="13"/>
        <v>0.24065427690805336</v>
      </c>
      <c r="F52" s="12">
        <f t="shared" si="13"/>
        <v>0.29941893158388005</v>
      </c>
      <c r="G52" s="12">
        <f t="shared" si="13"/>
        <v>0.3668961265796774</v>
      </c>
      <c r="H52" s="12">
        <f t="shared" si="13"/>
        <v>0.43118431689571546</v>
      </c>
    </row>
    <row r="53" spans="1:8" s="2" customFormat="1" ht="11.25">
      <c r="A53" s="2" t="s">
        <v>45</v>
      </c>
      <c r="C53" s="12">
        <f aca="true" t="shared" si="14" ref="C53:H53">C11/C10</f>
        <v>0.2792962984827912</v>
      </c>
      <c r="D53" s="12">
        <f t="shared" si="14"/>
        <v>0.24783372480903224</v>
      </c>
      <c r="E53" s="12">
        <f t="shared" si="14"/>
        <v>0.17126723857096318</v>
      </c>
      <c r="F53" s="12">
        <f t="shared" si="14"/>
        <v>0.2084181410156046</v>
      </c>
      <c r="G53" s="12">
        <f t="shared" si="14"/>
        <v>0.26364620760939117</v>
      </c>
      <c r="H53" s="12">
        <f t="shared" si="14"/>
        <v>0.34725876895532104</v>
      </c>
    </row>
    <row r="54" spans="1:8" s="2" customFormat="1" ht="11.25">
      <c r="A54" s="3" t="s">
        <v>46</v>
      </c>
      <c r="B54" s="3"/>
      <c r="C54" s="13">
        <f aca="true" t="shared" si="15" ref="C54:H54">(C11+C15)/C16</f>
        <v>0.3536138724867329</v>
      </c>
      <c r="D54" s="13">
        <f t="shared" si="15"/>
        <v>0.33787201980517734</v>
      </c>
      <c r="E54" s="13">
        <f t="shared" si="15"/>
        <v>0.24065427690805336</v>
      </c>
      <c r="F54" s="13">
        <f t="shared" si="15"/>
        <v>0.29941893158388005</v>
      </c>
      <c r="G54" s="13">
        <f t="shared" si="15"/>
        <v>0.3668961265796774</v>
      </c>
      <c r="H54" s="13">
        <f t="shared" si="15"/>
        <v>0.43118431689571546</v>
      </c>
    </row>
    <row r="55" s="2" customFormat="1" ht="11.25">
      <c r="A55" s="5" t="s">
        <v>47</v>
      </c>
    </row>
    <row r="56" spans="1:8" s="2" customFormat="1" ht="11.25">
      <c r="A56" s="2" t="s">
        <v>48</v>
      </c>
      <c r="C56" s="9">
        <f>C39/C27</f>
        <v>0.028036996705583968</v>
      </c>
      <c r="D56" s="9">
        <f>(D39/0.75)/D27</f>
        <v>0.031289900279604994</v>
      </c>
      <c r="E56" s="9">
        <f>(E39/0.5)/E27</f>
        <v>0.03441328973876284</v>
      </c>
      <c r="F56" s="9">
        <f>((F39)/0.25)/F27</f>
        <v>0.03417741183781264</v>
      </c>
      <c r="G56" s="9">
        <f>G39/G27</f>
        <v>0.022538670258065795</v>
      </c>
      <c r="H56" s="9">
        <f>H39/H27</f>
        <v>0.015404183154324477</v>
      </c>
    </row>
    <row r="57" spans="1:8" s="2" customFormat="1" ht="11.25">
      <c r="A57" s="2" t="s">
        <v>49</v>
      </c>
      <c r="C57" s="9">
        <f>C39/C26</f>
        <v>0.018765568779407694</v>
      </c>
      <c r="D57" s="9">
        <f>(D39/0.75)/D26</f>
        <v>0.021965055593374177</v>
      </c>
      <c r="E57" s="9">
        <f>(E39/0.5)/E26</f>
        <v>0.026252472191779095</v>
      </c>
      <c r="F57" s="9">
        <f>((F39)/0.25)/F26</f>
        <v>0.024386526444139613</v>
      </c>
      <c r="G57" s="9">
        <f>G39/G26</f>
        <v>0.014684439397654103</v>
      </c>
      <c r="H57" s="9">
        <f>H39/H26</f>
        <v>0.00948623480606887</v>
      </c>
    </row>
    <row r="58" spans="1:8" s="2" customFormat="1" ht="11.25">
      <c r="A58" s="2" t="s">
        <v>50</v>
      </c>
      <c r="C58" s="9">
        <f>C39/C30</f>
        <v>0.09742312482038509</v>
      </c>
      <c r="D58" s="9">
        <f>(D39/0.75)/D30</f>
        <v>0.11626231083353351</v>
      </c>
      <c r="E58" s="9">
        <f>(E39/0.5)/E30</f>
        <v>0.12770390342545498</v>
      </c>
      <c r="F58" s="9">
        <f>((F39)/0.25)/F30</f>
        <v>0.11092203945295268</v>
      </c>
      <c r="G58" s="9">
        <f>G39/G30</f>
        <v>0.0737954737046884</v>
      </c>
      <c r="H58" s="9">
        <f>H39/H30</f>
        <v>0.06070168925190273</v>
      </c>
    </row>
    <row r="59" spans="1:8" s="2" customFormat="1" ht="11.25">
      <c r="A59" s="2" t="s">
        <v>51</v>
      </c>
      <c r="C59" s="9">
        <f>C32/C26</f>
        <v>0.11334994003136821</v>
      </c>
      <c r="D59" s="9">
        <f>(D32/0.75)/D26</f>
        <v>0.13514862718402543</v>
      </c>
      <c r="E59" s="9">
        <f>(E32/0.5)/E26</f>
        <v>0.14310368718743308</v>
      </c>
      <c r="F59" s="9">
        <f>((F32)/0.25)/F26</f>
        <v>0.15285918166576604</v>
      </c>
      <c r="G59" s="9">
        <f>G32/G26</f>
        <v>0.11352697523775114</v>
      </c>
      <c r="H59" s="9">
        <f>H32/H26</f>
        <v>0.12561283397638595</v>
      </c>
    </row>
    <row r="60" spans="1:8" s="2" customFormat="1" ht="11.25">
      <c r="A60" s="2" t="s">
        <v>52</v>
      </c>
      <c r="C60" s="9">
        <f>C33/C26</f>
        <v>0.05354737521911616</v>
      </c>
      <c r="D60" s="9">
        <f>(D33/0.75)/D26</f>
        <v>0.06196203010362302</v>
      </c>
      <c r="E60" s="9">
        <f>(E33/0.5)/E26</f>
        <v>0.06359044127835935</v>
      </c>
      <c r="F60" s="9">
        <f>((F33)/0.25)/F26</f>
        <v>0.0671737955688573</v>
      </c>
      <c r="G60" s="9">
        <f>G33/G26</f>
        <v>0.06438958927442352</v>
      </c>
      <c r="H60" s="9">
        <f>H33/H26</f>
        <v>0.07908096660961388</v>
      </c>
    </row>
    <row r="61" spans="1:8" s="2" customFormat="1" ht="11.25">
      <c r="A61" s="2" t="s">
        <v>53</v>
      </c>
      <c r="C61" s="9">
        <f>C34/C26</f>
        <v>0.05980256481225205</v>
      </c>
      <c r="D61" s="9">
        <f>(D34)/0.75/D26</f>
        <v>0.0731865970804024</v>
      </c>
      <c r="E61" s="9">
        <f>(E34/0.5)/E26</f>
        <v>0.07951324590907373</v>
      </c>
      <c r="F61" s="9">
        <f>((F34)/0.25)/F26</f>
        <v>0.08568538609690873</v>
      </c>
      <c r="G61" s="9">
        <f>G34/G26</f>
        <v>0.04913738596332761</v>
      </c>
      <c r="H61" s="9">
        <f>H34/H26</f>
        <v>0.04653186736677207</v>
      </c>
    </row>
    <row r="62" spans="1:8" s="2" customFormat="1" ht="11.25">
      <c r="A62" s="2" t="s">
        <v>54</v>
      </c>
      <c r="C62" s="9">
        <f>C37/C36</f>
        <v>0.6496657948270852</v>
      </c>
      <c r="D62" s="9">
        <f>(D37/0.75)/(D36/0.75)</f>
        <v>0.646032405484005</v>
      </c>
      <c r="E62" s="9">
        <f>(E37/0.5)/(E36/0.5)</f>
        <v>0.6090790333115611</v>
      </c>
      <c r="F62" s="9">
        <f>(F37/0.25)/(F36/0.25)</f>
        <v>0.6181434599156118</v>
      </c>
      <c r="G62" s="9">
        <f>G37/G36</f>
        <v>0.8741080530071356</v>
      </c>
      <c r="H62" s="9">
        <f>H37/H36</f>
        <v>0.8104636591478697</v>
      </c>
    </row>
    <row r="63" spans="1:8" s="2" customFormat="1" ht="11.25">
      <c r="A63" s="3" t="s">
        <v>55</v>
      </c>
      <c r="B63" s="3"/>
      <c r="C63" s="11">
        <f>C35/C26</f>
        <v>0.0671833194944183</v>
      </c>
      <c r="D63" s="11">
        <f>(D35/0.75)/D26</f>
        <v>0.07246047954012556</v>
      </c>
      <c r="E63" s="11">
        <f>(E35/0.5)/E26</f>
        <v>0.07477671541765869</v>
      </c>
      <c r="F63" s="11">
        <f>(F35/0.25)/F26</f>
        <v>0.07194025301021185</v>
      </c>
      <c r="G63" s="11">
        <f>G35/G26</f>
        <v>0.052131050234202614</v>
      </c>
      <c r="H63" s="11">
        <f>H35/H26</f>
        <v>0.04606770908879928</v>
      </c>
    </row>
    <row r="64" s="2" customFormat="1" ht="11.25">
      <c r="A64" s="5" t="s">
        <v>56</v>
      </c>
    </row>
    <row r="65" spans="1:8" s="2" customFormat="1" ht="11.25">
      <c r="A65" s="2" t="s">
        <v>57</v>
      </c>
      <c r="C65" s="7">
        <v>146</v>
      </c>
      <c r="D65" s="7">
        <v>128</v>
      </c>
      <c r="E65" s="7">
        <v>96</v>
      </c>
      <c r="F65" s="7">
        <v>76</v>
      </c>
      <c r="G65" s="7">
        <v>55</v>
      </c>
      <c r="H65" s="7">
        <v>68</v>
      </c>
    </row>
    <row r="66" spans="1:8" s="2" customFormat="1" ht="11.25">
      <c r="A66" s="2" t="s">
        <v>58</v>
      </c>
      <c r="C66" s="7">
        <v>3</v>
      </c>
      <c r="D66" s="7">
        <v>3</v>
      </c>
      <c r="E66" s="7">
        <v>3</v>
      </c>
      <c r="F66" s="7">
        <v>3</v>
      </c>
      <c r="G66" s="7">
        <v>3</v>
      </c>
      <c r="H66" s="7">
        <v>3</v>
      </c>
    </row>
    <row r="67" spans="1:8" s="2" customFormat="1" ht="11.25">
      <c r="A67" s="2" t="s">
        <v>59</v>
      </c>
      <c r="C67" s="7">
        <f aca="true" t="shared" si="16" ref="C67:H67">C12/C65</f>
        <v>304.13013698630135</v>
      </c>
      <c r="D67" s="7">
        <f t="shared" si="16"/>
        <v>275.421875</v>
      </c>
      <c r="E67" s="7">
        <f t="shared" si="16"/>
        <v>375.5208333333333</v>
      </c>
      <c r="F67" s="7">
        <f t="shared" si="16"/>
        <v>375.42105263157896</v>
      </c>
      <c r="G67" s="7">
        <f t="shared" si="16"/>
        <v>511.7090909090909</v>
      </c>
      <c r="H67" s="7">
        <f t="shared" si="16"/>
        <v>328.63235294117646</v>
      </c>
    </row>
    <row r="68" spans="1:8" s="2" customFormat="1" ht="11.25">
      <c r="A68" s="2" t="s">
        <v>60</v>
      </c>
      <c r="C68" s="7">
        <f aca="true" t="shared" si="17" ref="C68:H68">C16/C65</f>
        <v>366.54794520547944</v>
      </c>
      <c r="D68" s="7">
        <f t="shared" si="17"/>
        <v>290.328125</v>
      </c>
      <c r="E68" s="7">
        <f t="shared" si="17"/>
        <v>341.34375</v>
      </c>
      <c r="F68" s="7">
        <f t="shared" si="17"/>
        <v>350.9868421052632</v>
      </c>
      <c r="G68" s="7">
        <f t="shared" si="17"/>
        <v>530.8909090909091</v>
      </c>
      <c r="H68" s="7">
        <f t="shared" si="17"/>
        <v>436.5882352941176</v>
      </c>
    </row>
    <row r="69" spans="1:8" s="2" customFormat="1" ht="11.25">
      <c r="A69" s="3" t="s">
        <v>61</v>
      </c>
      <c r="B69" s="3"/>
      <c r="C69" s="8">
        <f aca="true" t="shared" si="18" ref="C69:H69">(C39/C65)</f>
        <v>6.965753424657534</v>
      </c>
      <c r="D69" s="8">
        <f t="shared" si="18"/>
        <v>5.671875</v>
      </c>
      <c r="E69" s="8">
        <f t="shared" si="18"/>
        <v>5.427083333333333</v>
      </c>
      <c r="F69" s="8">
        <f t="shared" si="18"/>
        <v>2.8947368421052633</v>
      </c>
      <c r="G69" s="8">
        <f t="shared" si="18"/>
        <v>10.345454545454546</v>
      </c>
      <c r="H69" s="8">
        <f t="shared" si="18"/>
        <v>4.8088235294117645</v>
      </c>
    </row>
    <row r="70" s="2" customFormat="1" ht="11.25">
      <c r="A70" s="5" t="s">
        <v>62</v>
      </c>
    </row>
    <row r="71" spans="1:8" s="2" customFormat="1" ht="11.25">
      <c r="A71" s="2" t="s">
        <v>63</v>
      </c>
      <c r="C71" s="9">
        <f>(C10/G10)-1</f>
        <v>0.6674705911305803</v>
      </c>
      <c r="D71" s="9">
        <f>(D10/37477)-1</f>
        <v>0.35184246337753833</v>
      </c>
      <c r="E71" s="9">
        <f>(E10/733338)-1</f>
        <v>-0.9372117631978706</v>
      </c>
      <c r="F71" s="9">
        <f>(F10/33849)-1</f>
        <v>0.1321457059292741</v>
      </c>
      <c r="G71" s="9">
        <f>(G10/H10)-1</f>
        <v>0.10229769687762791</v>
      </c>
      <c r="H71" s="9">
        <f>(H10/32079)-1</f>
        <v>0.1491318307927305</v>
      </c>
    </row>
    <row r="72" spans="1:8" s="2" customFormat="1" ht="11.25">
      <c r="A72" s="2" t="s">
        <v>64</v>
      </c>
      <c r="C72" s="9">
        <f>(C12/G12)-1</f>
        <v>0.5777075042637863</v>
      </c>
      <c r="D72" s="9">
        <f>D12/26619-1</f>
        <v>0.3243923513279987</v>
      </c>
      <c r="E72" s="9">
        <f>E12/24508-1</f>
        <v>0.47094826179206795</v>
      </c>
      <c r="F72" s="9">
        <f>F12/22964-1</f>
        <v>0.24246646925622706</v>
      </c>
      <c r="G72" s="9">
        <f>(G12/H12)-1</f>
        <v>0.25940842171208667</v>
      </c>
      <c r="H72" s="9">
        <f>H12/20109-1</f>
        <v>0.11129345069371932</v>
      </c>
    </row>
    <row r="73" spans="2:8" s="2" customFormat="1" ht="11.25">
      <c r="B73" s="2" t="s">
        <v>13</v>
      </c>
      <c r="C73" s="9">
        <f>(C13/G13)-1</f>
        <v>0.40091145278759743</v>
      </c>
      <c r="D73" s="9">
        <f>(D13/21964)-1</f>
        <v>0.3936896740120197</v>
      </c>
      <c r="E73" s="9">
        <f>(E13/19881)-1</f>
        <v>0.5797495095820129</v>
      </c>
      <c r="F73" s="9">
        <f>(F13/18233)-1</f>
        <v>0.30916470136565577</v>
      </c>
      <c r="G73" s="9">
        <f>(G13/H13)-1</f>
        <v>0.3271720083658358</v>
      </c>
      <c r="H73" s="9">
        <f>(H13/13565)-1</f>
        <v>0.3041651308514559</v>
      </c>
    </row>
    <row r="74" spans="2:8" s="2" customFormat="1" ht="11.25">
      <c r="B74" s="2" t="s">
        <v>14</v>
      </c>
      <c r="C74" s="9">
        <f>(C14/G14)-1</f>
        <v>1.467524115755627</v>
      </c>
      <c r="D74" s="9">
        <f>(D14/4655)-1</f>
        <v>-0.002577873254564933</v>
      </c>
      <c r="E74" s="9">
        <f>(E14/4627)-1</f>
        <v>0.0034579641236223146</v>
      </c>
      <c r="F74" s="9">
        <f>(F14/4731)-1</f>
        <v>-0.014584654407102104</v>
      </c>
      <c r="G74" s="9">
        <f>(G14/H14)-1</f>
        <v>0.0019329896907216426</v>
      </c>
      <c r="H74" s="9">
        <f>(H14/6544)-1</f>
        <v>-0.2885085574572127</v>
      </c>
    </row>
    <row r="75" spans="1:8" s="2" customFormat="1" ht="11.25">
      <c r="A75" s="2" t="s">
        <v>65</v>
      </c>
      <c r="C75" s="9">
        <f>(C16/G16)-1</f>
        <v>0.8328024932360698</v>
      </c>
      <c r="D75" s="9">
        <f>D16/29432-1</f>
        <v>0.2626393041587387</v>
      </c>
      <c r="E75" s="9">
        <f>E16/26130-1</f>
        <v>0.2540757749712974</v>
      </c>
      <c r="F75" s="9">
        <f>F16/27098-1</f>
        <v>-0.015610008118680296</v>
      </c>
      <c r="G75" s="9">
        <f>(G16/H16)-1</f>
        <v>-0.016471301535974092</v>
      </c>
      <c r="H75" s="9">
        <f>H16/25523-1</f>
        <v>0.16318614582925206</v>
      </c>
    </row>
    <row r="76" spans="2:8" s="2" customFormat="1" ht="11.25">
      <c r="B76" s="2" t="s">
        <v>13</v>
      </c>
      <c r="C76" s="9">
        <f>(C17/G17)-1</f>
        <v>0.6928595077805981</v>
      </c>
      <c r="D76" s="9">
        <f>(D17/14491)-1</f>
        <v>0.7687530191153129</v>
      </c>
      <c r="E76" s="9">
        <f>(E17/14137)-1</f>
        <v>0.5080285774916884</v>
      </c>
      <c r="F76" s="9">
        <f>(F17/12813)-1</f>
        <v>0.3840630609537188</v>
      </c>
      <c r="G76" s="9">
        <f>(G17/H17)-1</f>
        <v>0.45628415300546443</v>
      </c>
      <c r="H76" s="9">
        <f>(H17/9340)-1</f>
        <v>0.3323340471092078</v>
      </c>
    </row>
    <row r="77" spans="2:8" s="2" customFormat="1" ht="11.25">
      <c r="B77" s="2" t="s">
        <v>14</v>
      </c>
      <c r="C77" s="9">
        <f>(C21/G21)-1</f>
        <v>1.0617495711835336</v>
      </c>
      <c r="D77" s="9">
        <f>(D21/14941)-1</f>
        <v>-0.22823104209892242</v>
      </c>
      <c r="E77" s="9">
        <f>(E21/11993)-1</f>
        <v>-0.0452764112398899</v>
      </c>
      <c r="F77" s="9">
        <f>(F21/14285)-1</f>
        <v>-0.3740987049352468</v>
      </c>
      <c r="G77" s="9">
        <f>(G21/H21)-1</f>
        <v>-0.35763163999072145</v>
      </c>
      <c r="H77" s="9">
        <f>(H21/16183)-1</f>
        <v>0.06556262744855723</v>
      </c>
    </row>
    <row r="78" spans="1:8" s="2" customFormat="1" ht="11.25">
      <c r="A78" s="2" t="s">
        <v>66</v>
      </c>
      <c r="C78" s="9">
        <f>(C24/G24)-1</f>
        <v>0.11315789473684212</v>
      </c>
      <c r="D78" s="9">
        <f>(D24/14941)-1</f>
        <v>-0.28358208955223885</v>
      </c>
      <c r="E78" s="9">
        <f>(E24/5821)-1</f>
        <v>0.8034701941247209</v>
      </c>
      <c r="F78" s="9">
        <f>(F24/5866)-1</f>
        <v>0.7390044323218548</v>
      </c>
      <c r="G78" s="9">
        <f>(G24/H24)-1</f>
        <v>0.7830716477170185</v>
      </c>
      <c r="H78" s="9">
        <f>(H24/5233)-1</f>
        <v>0.05885725205427095</v>
      </c>
    </row>
    <row r="79" spans="1:8" s="2" customFormat="1" ht="11.25">
      <c r="A79" s="3" t="s">
        <v>67</v>
      </c>
      <c r="B79" s="3"/>
      <c r="C79" s="11">
        <f>(C39/G39)-1</f>
        <v>0.7873462214411249</v>
      </c>
      <c r="D79" s="11">
        <f>(D39/414)-1</f>
        <v>0.7536231884057971</v>
      </c>
      <c r="E79" s="11">
        <f>(E39/287)-1</f>
        <v>0.8153310104529616</v>
      </c>
      <c r="F79" s="11">
        <f>(F39/129)-1</f>
        <v>0.7054263565891472</v>
      </c>
      <c r="G79" s="11">
        <f>(G39/H39)-1</f>
        <v>0.7400611620795108</v>
      </c>
      <c r="H79" s="11">
        <f>(H39/315)-1</f>
        <v>0.03809523809523818</v>
      </c>
    </row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</sheetData>
  <sheetProtection password="CD66" sheet="1" objects="1" scenarios="1"/>
  <printOptions horizontalCentered="1"/>
  <pageMargins left="0.75" right="0.75" top="0.5905511811023623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2002-04-24T20:06:47Z</cp:lastPrinted>
  <dcterms:created xsi:type="dcterms:W3CDTF">2002-03-08T14:39:40Z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