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Pribanco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<sst xmlns="http://schemas.openxmlformats.org/spreadsheetml/2006/main" count="80" uniqueCount="68">
  <si>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CUADRO No. 18-4    PRIMER BANCO DE AHORROS, S.A.</t>
  </si>
  <si>
    <t>ESTADISTICA FINANCIERA. AÑOS 1998, 1999, Y TRIMESTRES DE 2000</t>
  </si>
  <si>
    <t>(En miles de balboas)</t>
  </si>
  <si>
    <t>Diciembre 2000</t>
  </si>
  <si>
    <t>Sept 2000</t>
  </si>
  <si>
    <t>Junio 2000</t>
  </si>
  <si>
    <t>Marzo 2000</t>
  </si>
  <si>
    <t>Diciembre 1999</t>
  </si>
  <si>
    <t>Diciembre 1998</t>
  </si>
  <si>
    <t>Balance de Situación</t>
  </si>
  <si>
    <t>Total de Activos</t>
  </si>
  <si>
    <t>Activos Líquidos</t>
  </si>
  <si>
    <t>Total de Préstamos</t>
  </si>
  <si>
    <t>Internos</t>
  </si>
  <si>
    <t>Externos</t>
  </si>
  <si>
    <t>Total de Inversiones</t>
  </si>
  <si>
    <t>Total de Depósitos</t>
  </si>
  <si>
    <t xml:space="preserve">     Depósitos de Oficiales</t>
  </si>
  <si>
    <t xml:space="preserve">     Depósitos de Particulares</t>
  </si>
  <si>
    <t xml:space="preserve">     Depósitos de Bancos</t>
  </si>
  <si>
    <t>Patrimonio Total</t>
  </si>
  <si>
    <t>Promedio (12 meses)</t>
  </si>
  <si>
    <t>Activos Generadores de Ingresos</t>
  </si>
  <si>
    <t>Estado de Ganancias y Pérdidas</t>
  </si>
  <si>
    <t>Ingreso por Intereses</t>
  </si>
  <si>
    <t>Egreso de Operaciones</t>
  </si>
  <si>
    <t>Ingreso Neto de Intereses</t>
  </si>
  <si>
    <t>Otros Ingresos</t>
  </si>
  <si>
    <t>Ingreso de Operaciones</t>
  </si>
  <si>
    <t>Egresos Generales</t>
  </si>
  <si>
    <t>Utilidad antes de Provisiones</t>
  </si>
  <si>
    <t>Utilidad del Período</t>
  </si>
  <si>
    <t>Calidad de Activos</t>
  </si>
  <si>
    <t>Total de Préstamos Morosos</t>
  </si>
  <si>
    <t>Total de Préstamos Vencidos</t>
  </si>
  <si>
    <t xml:space="preserve">Préstamos Morosos / Préstamos Totales </t>
  </si>
  <si>
    <t xml:space="preserve">Préstamos Vencidos / Préstamos Totales </t>
  </si>
  <si>
    <t xml:space="preserve">Morosos + Vencidos / Préstamos Totales </t>
  </si>
  <si>
    <t xml:space="preserve">Provisiones Cuentas Malas / Préstamos Totales </t>
  </si>
  <si>
    <t xml:space="preserve">Provisiones / Préstamos Morosos + Vencidos </t>
  </si>
  <si>
    <t>Razones de Capital</t>
  </si>
  <si>
    <t>Patrimonio / Activos Generadores de Ingresos</t>
  </si>
  <si>
    <t>Patrimonio / Préstamos Totales</t>
  </si>
  <si>
    <t>Liquidez</t>
  </si>
  <si>
    <t>Activo Líquido / Total de Depósitos</t>
  </si>
  <si>
    <t>Activo Líquido / Activo Total</t>
  </si>
  <si>
    <t>Activo Líquido + Inversiones / Depósitos Totales</t>
  </si>
  <si>
    <t>Rentabilidad</t>
  </si>
  <si>
    <t>Utilidad Neta / Activos Generadores de Ingresos (Promedio)</t>
  </si>
  <si>
    <t>Utilidad Neta / Total de Activos (Promedio)</t>
  </si>
  <si>
    <t>Utilidad Neta / Patrimonio Total (Promedio)</t>
  </si>
  <si>
    <t>Ingresos por Intereses / Activos Totales (Promedio)</t>
  </si>
  <si>
    <t>Egresos Operaciones / Activos Totales (Promedio)</t>
  </si>
  <si>
    <t>Ingresos Netos por Intereses / Activos Totales (Promedio)</t>
  </si>
  <si>
    <t>Egresos Generales / Ingresos de Operaciones</t>
  </si>
  <si>
    <t>Otros Ingresos / Activos Totales (Promedio)</t>
  </si>
  <si>
    <t>Productividad</t>
  </si>
  <si>
    <t>Número de Empleados</t>
  </si>
  <si>
    <t>Sucursales</t>
  </si>
  <si>
    <t>Préstamos / Empleados (En miles de balboas)</t>
  </si>
  <si>
    <t>Depósitos Totales / Empleados (En miles de balboas)</t>
  </si>
  <si>
    <t>Utilidad Neta / Empleados (En miles de balboas)</t>
  </si>
  <si>
    <t>Tasas de Crecimiento (12 meses)</t>
  </si>
  <si>
    <t>Activos</t>
  </si>
  <si>
    <t>Préstamos</t>
  </si>
  <si>
    <t>Depósitos</t>
  </si>
  <si>
    <t>Patrimonio</t>
  </si>
  <si>
    <t>Utilidad Neta</t>
  </si>
</sst>
</file>

<file path=xl/styles.xml><?xml version="1.0" encoding="utf-8"?>
<styleSheet xmlns="http://schemas.openxmlformats.org/spreadsheetml/2006/main">
  <numFmts count="43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000000000"/>
    <numFmt numFmtId="189" formatCode="0.00000000000"/>
    <numFmt numFmtId="190" formatCode="0.000000000"/>
    <numFmt numFmtId="191" formatCode="0.0"/>
    <numFmt numFmtId="192" formatCode="_ * #,##0.0_ ;_ * \-#,##0.0_ ;_ * &quot;-&quot;??_ ;_ @_ "/>
    <numFmt numFmtId="193" formatCode="_ * #,##0_ ;_ * \-#,##0_ ;_ * &quot;-&quot;??_ ;_ @_ "/>
    <numFmt numFmtId="194" formatCode="0.000%"/>
    <numFmt numFmtId="195" formatCode="0.0000%"/>
    <numFmt numFmtId="196" formatCode="0.00000%"/>
    <numFmt numFmtId="197" formatCode="0.000000%"/>
    <numFmt numFmtId="198" formatCode="_(* #,##0.0000_);_(* \(#,##0.0000\);_(* &quot;-&quot;??_);_(@_)"/>
  </numFmts>
  <fonts count="5">
    <font>
      <sz val="10"/>
      <name val="Arial"/>
      <family val="0"/>
    </font>
    <font>
      <sz val="7"/>
      <name val="Arial"/>
      <family val="0"/>
    </font>
    <font>
      <sz val="7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0" fontId="4" fillId="0" borderId="0" xfId="0" applyFont="1" applyAlignment="1">
      <alignment/>
    </xf>
    <xf numFmtId="179" fontId="4" fillId="0" borderId="0" xfId="15" applyNumberFormat="1" applyFont="1" applyAlignment="1">
      <alignment/>
    </xf>
    <xf numFmtId="179" fontId="4" fillId="0" borderId="1" xfId="15" applyNumberFormat="1" applyFont="1" applyBorder="1" applyAlignment="1">
      <alignment/>
    </xf>
    <xf numFmtId="10" fontId="4" fillId="0" borderId="0" xfId="19" applyNumberFormat="1" applyFont="1" applyAlignment="1">
      <alignment/>
    </xf>
    <xf numFmtId="0" fontId="4" fillId="0" borderId="0" xfId="0" applyFont="1" applyBorder="1" applyAlignment="1">
      <alignment/>
    </xf>
    <xf numFmtId="10" fontId="4" fillId="0" borderId="1" xfId="19" applyNumberFormat="1" applyFont="1" applyBorder="1" applyAlignment="1">
      <alignment/>
    </xf>
    <xf numFmtId="181" fontId="4" fillId="0" borderId="0" xfId="19" applyNumberFormat="1" applyFont="1" applyAlignment="1">
      <alignment/>
    </xf>
    <xf numFmtId="181" fontId="4" fillId="0" borderId="1" xfId="19" applyNumberFormat="1" applyFont="1" applyBorder="1" applyAlignment="1">
      <alignment/>
    </xf>
    <xf numFmtId="10" fontId="4" fillId="0" borderId="0" xfId="19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5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1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D5" sqref="D5"/>
    </sheetView>
  </sheetViews>
  <sheetFormatPr defaultColWidth="11.421875" defaultRowHeight="12.75"/>
  <cols>
    <col min="1" max="1" width="3.28125" style="1" customWidth="1"/>
    <col min="2" max="2" width="35.7109375" style="1" customWidth="1"/>
    <col min="3" max="3" width="11.421875" style="1" customWidth="1"/>
    <col min="4" max="5" width="9.8515625" style="1" customWidth="1"/>
    <col min="6" max="6" width="9.140625" style="1" customWidth="1"/>
    <col min="7" max="7" width="11.7109375" style="1" customWidth="1"/>
    <col min="8" max="8" width="11.8515625" style="1" customWidth="1"/>
    <col min="9" max="16384" width="9.8515625" style="1" customWidth="1"/>
  </cols>
  <sheetData>
    <row r="1" spans="2:8" ht="11.25">
      <c r="B1" s="16"/>
      <c r="C1" s="16"/>
      <c r="D1" s="16"/>
      <c r="E1" s="16"/>
      <c r="F1" s="16"/>
      <c r="G1" s="16"/>
      <c r="H1" s="16"/>
    </row>
    <row r="2" spans="2:8" ht="11.25">
      <c r="B2" s="16"/>
      <c r="C2" s="16"/>
      <c r="D2" s="16"/>
      <c r="E2" s="16"/>
      <c r="F2" s="16" t="s">
        <v>0</v>
      </c>
      <c r="G2" s="16"/>
      <c r="H2" s="16"/>
    </row>
    <row r="3" spans="2:8" ht="11.25">
      <c r="B3" s="17"/>
      <c r="C3" s="17"/>
      <c r="D3" s="17"/>
      <c r="E3" s="17"/>
      <c r="F3" s="16" t="s">
        <v>1</v>
      </c>
      <c r="G3" s="17"/>
      <c r="H3" s="17"/>
    </row>
    <row r="4" spans="1:8" ht="11.25">
      <c r="A4" s="17"/>
      <c r="B4" s="17"/>
      <c r="C4" s="17"/>
      <c r="D4" s="17"/>
      <c r="E4" s="17"/>
      <c r="F4" s="17" t="s">
        <v>2</v>
      </c>
      <c r="G4" s="17"/>
      <c r="H4" s="17"/>
    </row>
    <row r="5" spans="1:8" ht="11.25">
      <c r="A5" s="17"/>
      <c r="B5" s="17"/>
      <c r="C5" s="17"/>
      <c r="D5" s="17"/>
      <c r="E5" s="17"/>
      <c r="F5" s="17"/>
      <c r="G5" s="17"/>
      <c r="H5" s="17"/>
    </row>
    <row r="6" spans="1:8" ht="11.25">
      <c r="A6" s="3"/>
      <c r="B6" s="3"/>
      <c r="C6" s="3"/>
      <c r="D6" s="3"/>
      <c r="E6" s="3"/>
      <c r="F6" s="3"/>
      <c r="G6" s="3"/>
      <c r="H6" s="3"/>
    </row>
    <row r="7" spans="1:8" ht="11.25">
      <c r="A7" s="4"/>
      <c r="B7" s="4"/>
      <c r="C7" s="4" t="s">
        <v>3</v>
      </c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</row>
    <row r="8" spans="1:8" ht="11.25">
      <c r="A8" s="5" t="s">
        <v>9</v>
      </c>
      <c r="B8" s="5"/>
      <c r="C8" s="6"/>
      <c r="D8" s="6"/>
      <c r="E8" s="6"/>
      <c r="F8" s="6"/>
      <c r="G8" s="6"/>
      <c r="H8" s="6"/>
    </row>
    <row r="9" spans="1:8" ht="11.25">
      <c r="A9" s="7" t="s">
        <v>10</v>
      </c>
      <c r="B9" s="7"/>
      <c r="C9" s="8">
        <v>1351133</v>
      </c>
      <c r="D9" s="8">
        <v>1383358</v>
      </c>
      <c r="E9" s="8">
        <v>1317747</v>
      </c>
      <c r="F9" s="8">
        <v>1321508</v>
      </c>
      <c r="G9" s="8">
        <v>1325262</v>
      </c>
      <c r="H9" s="8">
        <v>1118298</v>
      </c>
    </row>
    <row r="10" spans="1:8" ht="11.25">
      <c r="A10" s="7" t="s">
        <v>11</v>
      </c>
      <c r="B10" s="7"/>
      <c r="C10" s="8">
        <v>241723</v>
      </c>
      <c r="D10" s="8">
        <v>238989</v>
      </c>
      <c r="E10" s="8">
        <v>224855</v>
      </c>
      <c r="F10" s="8">
        <v>226090</v>
      </c>
      <c r="G10" s="8">
        <v>236178</v>
      </c>
      <c r="H10" s="8">
        <v>224056</v>
      </c>
    </row>
    <row r="11" spans="1:8" ht="11.25">
      <c r="A11" s="7" t="s">
        <v>12</v>
      </c>
      <c r="B11" s="7"/>
      <c r="C11" s="8">
        <f aca="true" t="shared" si="0" ref="C11:H11">C12+C13</f>
        <v>813366</v>
      </c>
      <c r="D11" s="8">
        <f t="shared" si="0"/>
        <v>862875</v>
      </c>
      <c r="E11" s="8">
        <f t="shared" si="0"/>
        <v>877007</v>
      </c>
      <c r="F11" s="8">
        <f t="shared" si="0"/>
        <v>875516</v>
      </c>
      <c r="G11" s="8">
        <f t="shared" si="0"/>
        <v>871070</v>
      </c>
      <c r="H11" s="8">
        <f t="shared" si="0"/>
        <v>713800</v>
      </c>
    </row>
    <row r="12" spans="1:8" ht="11.25">
      <c r="A12" s="7"/>
      <c r="B12" s="7" t="s">
        <v>13</v>
      </c>
      <c r="C12" s="8">
        <v>811712</v>
      </c>
      <c r="D12" s="8">
        <v>860676</v>
      </c>
      <c r="E12" s="8">
        <v>875385</v>
      </c>
      <c r="F12" s="8">
        <v>873944</v>
      </c>
      <c r="G12" s="8">
        <v>869316</v>
      </c>
      <c r="H12" s="8">
        <v>709731</v>
      </c>
    </row>
    <row r="13" spans="1:8" ht="11.25">
      <c r="A13" s="7"/>
      <c r="B13" s="7" t="s">
        <v>14</v>
      </c>
      <c r="C13" s="8">
        <v>1654</v>
      </c>
      <c r="D13" s="8">
        <v>2199</v>
      </c>
      <c r="E13" s="8">
        <v>1622</v>
      </c>
      <c r="F13" s="8">
        <v>1572</v>
      </c>
      <c r="G13" s="8">
        <v>1754</v>
      </c>
      <c r="H13" s="8">
        <v>4069</v>
      </c>
    </row>
    <row r="14" spans="1:8" ht="11.25">
      <c r="A14" s="7" t="s">
        <v>15</v>
      </c>
      <c r="B14" s="7"/>
      <c r="C14" s="8">
        <v>242804</v>
      </c>
      <c r="D14" s="8">
        <v>193824</v>
      </c>
      <c r="E14" s="8">
        <v>156866</v>
      </c>
      <c r="F14" s="8">
        <v>158339</v>
      </c>
      <c r="G14" s="8">
        <v>157881</v>
      </c>
      <c r="H14" s="8">
        <v>134616</v>
      </c>
    </row>
    <row r="15" spans="1:8" ht="11.25">
      <c r="A15" s="7" t="s">
        <v>16</v>
      </c>
      <c r="B15" s="7"/>
      <c r="C15" s="8">
        <f aca="true" t="shared" si="1" ref="C15:H15">C16+C20</f>
        <v>1077022</v>
      </c>
      <c r="D15" s="8">
        <f t="shared" si="1"/>
        <v>1148176</v>
      </c>
      <c r="E15" s="8">
        <f t="shared" si="1"/>
        <v>1120042</v>
      </c>
      <c r="F15" s="8">
        <f t="shared" si="1"/>
        <v>1119673</v>
      </c>
      <c r="G15" s="8">
        <f t="shared" si="1"/>
        <v>1128623</v>
      </c>
      <c r="H15" s="8">
        <f t="shared" si="1"/>
        <v>948503</v>
      </c>
    </row>
    <row r="16" spans="1:8" ht="11.25">
      <c r="A16" s="7"/>
      <c r="B16" s="7" t="s">
        <v>13</v>
      </c>
      <c r="C16" s="8">
        <f aca="true" t="shared" si="2" ref="C16:H16">C17+C18+C19</f>
        <v>1056985</v>
      </c>
      <c r="D16" s="8">
        <f t="shared" si="2"/>
        <v>1082906</v>
      </c>
      <c r="E16" s="8">
        <f t="shared" si="2"/>
        <v>1049381</v>
      </c>
      <c r="F16" s="8">
        <f t="shared" si="2"/>
        <v>1071741</v>
      </c>
      <c r="G16" s="8">
        <f t="shared" si="2"/>
        <v>1073738</v>
      </c>
      <c r="H16" s="8">
        <f t="shared" si="2"/>
        <v>932356</v>
      </c>
    </row>
    <row r="17" spans="1:8" ht="11.25">
      <c r="A17" s="7"/>
      <c r="B17" s="7" t="s">
        <v>17</v>
      </c>
      <c r="C17" s="8"/>
      <c r="D17" s="8"/>
      <c r="E17" s="8"/>
      <c r="F17" s="8"/>
      <c r="G17" s="8">
        <v>0</v>
      </c>
      <c r="H17" s="8">
        <v>0</v>
      </c>
    </row>
    <row r="18" spans="1:8" ht="11.25">
      <c r="A18" s="7"/>
      <c r="B18" s="7" t="s">
        <v>18</v>
      </c>
      <c r="C18" s="8">
        <v>992122</v>
      </c>
      <c r="D18" s="8">
        <v>995454</v>
      </c>
      <c r="E18" s="8">
        <v>976156</v>
      </c>
      <c r="F18" s="8">
        <v>998056</v>
      </c>
      <c r="G18" s="8">
        <v>980965</v>
      </c>
      <c r="H18" s="8">
        <v>897962</v>
      </c>
    </row>
    <row r="19" spans="1:8" ht="11.25">
      <c r="A19" s="7"/>
      <c r="B19" s="7" t="s">
        <v>19</v>
      </c>
      <c r="C19" s="8">
        <v>64863</v>
      </c>
      <c r="D19" s="8">
        <v>87452</v>
      </c>
      <c r="E19" s="8">
        <v>73225</v>
      </c>
      <c r="F19" s="8">
        <v>73685</v>
      </c>
      <c r="G19" s="8">
        <v>92773</v>
      </c>
      <c r="H19" s="8">
        <v>34394</v>
      </c>
    </row>
    <row r="20" spans="1:8" ht="11.25">
      <c r="A20" s="7"/>
      <c r="B20" s="7" t="s">
        <v>14</v>
      </c>
      <c r="C20" s="8">
        <f aca="true" t="shared" si="3" ref="C20:H20">C21+C22</f>
        <v>20037</v>
      </c>
      <c r="D20" s="8">
        <f t="shared" si="3"/>
        <v>65270</v>
      </c>
      <c r="E20" s="8">
        <f t="shared" si="3"/>
        <v>70661</v>
      </c>
      <c r="F20" s="8">
        <f t="shared" si="3"/>
        <v>47932</v>
      </c>
      <c r="G20" s="8">
        <f t="shared" si="3"/>
        <v>54885</v>
      </c>
      <c r="H20" s="8">
        <f t="shared" si="3"/>
        <v>16147</v>
      </c>
    </row>
    <row r="21" spans="1:8" ht="11.25">
      <c r="A21" s="7"/>
      <c r="B21" s="7" t="s">
        <v>18</v>
      </c>
      <c r="C21" s="8">
        <v>3202</v>
      </c>
      <c r="D21" s="8">
        <v>5638</v>
      </c>
      <c r="E21" s="8">
        <v>5707</v>
      </c>
      <c r="F21" s="8">
        <v>5314</v>
      </c>
      <c r="G21" s="8">
        <v>5628</v>
      </c>
      <c r="H21" s="8">
        <v>16147</v>
      </c>
    </row>
    <row r="22" spans="1:8" ht="11.25">
      <c r="A22" s="7"/>
      <c r="B22" s="7" t="s">
        <v>19</v>
      </c>
      <c r="C22" s="8">
        <v>16835</v>
      </c>
      <c r="D22" s="8">
        <v>59632</v>
      </c>
      <c r="E22" s="8">
        <v>64954</v>
      </c>
      <c r="F22" s="8">
        <v>42618</v>
      </c>
      <c r="G22" s="8">
        <v>49257</v>
      </c>
      <c r="H22" s="8">
        <v>0</v>
      </c>
    </row>
    <row r="23" spans="1:8" ht="11.25">
      <c r="A23" s="3" t="s">
        <v>20</v>
      </c>
      <c r="B23" s="3"/>
      <c r="C23" s="9">
        <v>108599</v>
      </c>
      <c r="D23" s="9">
        <v>106979</v>
      </c>
      <c r="E23" s="9">
        <v>107374</v>
      </c>
      <c r="F23" s="9">
        <v>105691</v>
      </c>
      <c r="G23" s="9">
        <v>104334</v>
      </c>
      <c r="H23" s="9">
        <v>97795</v>
      </c>
    </row>
    <row r="24" spans="1:8" ht="11.25">
      <c r="A24" s="5" t="s">
        <v>21</v>
      </c>
      <c r="B24" s="7"/>
      <c r="C24" s="7"/>
      <c r="D24" s="7"/>
      <c r="E24" s="7"/>
      <c r="F24" s="7"/>
      <c r="G24" s="7"/>
      <c r="H24" s="7"/>
    </row>
    <row r="25" spans="1:8" ht="11.25">
      <c r="A25" s="7" t="s">
        <v>10</v>
      </c>
      <c r="B25" s="7"/>
      <c r="C25" s="8">
        <f>+(C9+G9)/2</f>
        <v>1338197.5</v>
      </c>
      <c r="D25" s="8">
        <v>1312294</v>
      </c>
      <c r="E25" s="8">
        <v>1273835</v>
      </c>
      <c r="F25" s="8">
        <v>1253558</v>
      </c>
      <c r="G25" s="8">
        <f>(G9+H9)/2</f>
        <v>1221780</v>
      </c>
      <c r="H25" s="8">
        <f>(H9+962615)/2</f>
        <v>1040456.5</v>
      </c>
    </row>
    <row r="26" spans="1:8" ht="11.25">
      <c r="A26" s="7" t="s">
        <v>22</v>
      </c>
      <c r="B26" s="7"/>
      <c r="C26" s="8">
        <f aca="true" t="shared" si="4" ref="C26:H26">C27+C28</f>
        <v>1042560.5</v>
      </c>
      <c r="D26" s="8">
        <f t="shared" si="4"/>
        <v>1023825</v>
      </c>
      <c r="E26" s="8">
        <f t="shared" si="4"/>
        <v>975786</v>
      </c>
      <c r="F26" s="8">
        <f t="shared" si="4"/>
        <v>953485</v>
      </c>
      <c r="G26" s="8">
        <f t="shared" si="4"/>
        <v>938683.5</v>
      </c>
      <c r="H26" s="8">
        <f t="shared" si="4"/>
        <v>825042.5</v>
      </c>
    </row>
    <row r="27" spans="1:8" ht="11.25">
      <c r="A27" s="7"/>
      <c r="B27" s="7" t="s">
        <v>12</v>
      </c>
      <c r="C27" s="8">
        <f>+(C11+G11)/2</f>
        <v>842218</v>
      </c>
      <c r="D27" s="8">
        <v>849442</v>
      </c>
      <c r="E27" s="8">
        <v>820966</v>
      </c>
      <c r="F27" s="8">
        <v>800007</v>
      </c>
      <c r="G27" s="8">
        <f>(G11+H11)/2</f>
        <v>792435</v>
      </c>
      <c r="H27" s="8">
        <f>(H11+585777)/2</f>
        <v>649788.5</v>
      </c>
    </row>
    <row r="28" spans="1:8" ht="11.25">
      <c r="A28" s="7"/>
      <c r="B28" s="7" t="s">
        <v>15</v>
      </c>
      <c r="C28" s="8">
        <f>+(C14+G14)/2</f>
        <v>200342.5</v>
      </c>
      <c r="D28" s="8">
        <v>174383</v>
      </c>
      <c r="E28" s="8">
        <v>154820</v>
      </c>
      <c r="F28" s="8">
        <v>153478</v>
      </c>
      <c r="G28" s="8">
        <f>(G14+H14)/2</f>
        <v>146248.5</v>
      </c>
      <c r="H28" s="8">
        <f>(H14+215892)/2</f>
        <v>175254</v>
      </c>
    </row>
    <row r="29" spans="1:8" ht="11.25">
      <c r="A29" s="3" t="s">
        <v>20</v>
      </c>
      <c r="B29" s="3"/>
      <c r="C29" s="9">
        <f>+(C23+G23)/2</f>
        <v>106466.5</v>
      </c>
      <c r="D29" s="9">
        <v>104216</v>
      </c>
      <c r="E29" s="9">
        <v>103346</v>
      </c>
      <c r="F29" s="9">
        <v>103542</v>
      </c>
      <c r="G29" s="9">
        <f>(G23+H23)/2</f>
        <v>101064.5</v>
      </c>
      <c r="H29" s="9">
        <f>(H23+85468)/2</f>
        <v>91631.5</v>
      </c>
    </row>
    <row r="30" spans="1:8" ht="11.25">
      <c r="A30" s="5" t="s">
        <v>23</v>
      </c>
      <c r="B30" s="7"/>
      <c r="C30" s="7"/>
      <c r="D30" s="7"/>
      <c r="E30" s="7"/>
      <c r="F30" s="7"/>
      <c r="G30" s="7"/>
      <c r="H30" s="7"/>
    </row>
    <row r="31" spans="1:8" ht="11.25">
      <c r="A31" s="7" t="s">
        <v>24</v>
      </c>
      <c r="B31" s="7"/>
      <c r="C31" s="8">
        <v>112168</v>
      </c>
      <c r="D31" s="8">
        <v>84325</v>
      </c>
      <c r="E31" s="8">
        <v>54590</v>
      </c>
      <c r="F31" s="8">
        <v>27024</v>
      </c>
      <c r="G31" s="8">
        <v>98690</v>
      </c>
      <c r="H31" s="8">
        <v>90233</v>
      </c>
    </row>
    <row r="32" spans="1:8" ht="11.25">
      <c r="A32" s="7" t="s">
        <v>25</v>
      </c>
      <c r="B32" s="7"/>
      <c r="C32" s="8">
        <v>82304</v>
      </c>
      <c r="D32" s="8">
        <v>61336</v>
      </c>
      <c r="E32" s="8">
        <v>40131</v>
      </c>
      <c r="F32" s="8">
        <v>19924</v>
      </c>
      <c r="G32" s="8">
        <v>73099</v>
      </c>
      <c r="H32" s="8">
        <v>62544</v>
      </c>
    </row>
    <row r="33" spans="1:8" ht="11.25">
      <c r="A33" s="7" t="s">
        <v>26</v>
      </c>
      <c r="B33" s="7"/>
      <c r="C33" s="8">
        <f aca="true" t="shared" si="5" ref="C33:H33">C31-C32</f>
        <v>29864</v>
      </c>
      <c r="D33" s="8">
        <f t="shared" si="5"/>
        <v>22989</v>
      </c>
      <c r="E33" s="8">
        <f t="shared" si="5"/>
        <v>14459</v>
      </c>
      <c r="F33" s="8">
        <f t="shared" si="5"/>
        <v>7100</v>
      </c>
      <c r="G33" s="8">
        <f t="shared" si="5"/>
        <v>25591</v>
      </c>
      <c r="H33" s="8">
        <f t="shared" si="5"/>
        <v>27689</v>
      </c>
    </row>
    <row r="34" spans="1:8" ht="11.25">
      <c r="A34" s="7" t="s">
        <v>27</v>
      </c>
      <c r="B34" s="7"/>
      <c r="C34" s="8">
        <v>13736</v>
      </c>
      <c r="D34" s="8">
        <v>8930</v>
      </c>
      <c r="E34" s="8">
        <v>6092</v>
      </c>
      <c r="F34" s="8">
        <v>2776</v>
      </c>
      <c r="G34" s="8">
        <v>11857</v>
      </c>
      <c r="H34" s="8">
        <v>9062</v>
      </c>
    </row>
    <row r="35" spans="1:8" ht="11.25">
      <c r="A35" s="7" t="s">
        <v>28</v>
      </c>
      <c r="B35" s="7"/>
      <c r="C35" s="8">
        <f aca="true" t="shared" si="6" ref="C35:H35">C33+C34</f>
        <v>43600</v>
      </c>
      <c r="D35" s="8">
        <f t="shared" si="6"/>
        <v>31919</v>
      </c>
      <c r="E35" s="8">
        <f t="shared" si="6"/>
        <v>20551</v>
      </c>
      <c r="F35" s="8">
        <f t="shared" si="6"/>
        <v>9876</v>
      </c>
      <c r="G35" s="8">
        <f t="shared" si="6"/>
        <v>37448</v>
      </c>
      <c r="H35" s="8">
        <f t="shared" si="6"/>
        <v>36751</v>
      </c>
    </row>
    <row r="36" spans="1:8" ht="11.25">
      <c r="A36" s="7" t="s">
        <v>29</v>
      </c>
      <c r="B36" s="7"/>
      <c r="C36" s="8">
        <v>31365</v>
      </c>
      <c r="D36" s="8">
        <v>24467</v>
      </c>
      <c r="E36" s="8">
        <v>12870</v>
      </c>
      <c r="F36" s="8">
        <v>6310</v>
      </c>
      <c r="G36" s="8">
        <v>23454</v>
      </c>
      <c r="H36" s="8">
        <v>20074</v>
      </c>
    </row>
    <row r="37" spans="1:8" ht="11.25">
      <c r="A37" s="7" t="s">
        <v>30</v>
      </c>
      <c r="B37" s="7"/>
      <c r="C37" s="8">
        <f aca="true" t="shared" si="7" ref="C37:H37">C35-C36</f>
        <v>12235</v>
      </c>
      <c r="D37" s="8">
        <f t="shared" si="7"/>
        <v>7452</v>
      </c>
      <c r="E37" s="8">
        <f t="shared" si="7"/>
        <v>7681</v>
      </c>
      <c r="F37" s="8">
        <f t="shared" si="7"/>
        <v>3566</v>
      </c>
      <c r="G37" s="8">
        <f t="shared" si="7"/>
        <v>13994</v>
      </c>
      <c r="H37" s="8">
        <f t="shared" si="7"/>
        <v>16677</v>
      </c>
    </row>
    <row r="38" spans="1:8" ht="11.25">
      <c r="A38" s="3" t="s">
        <v>31</v>
      </c>
      <c r="B38" s="3"/>
      <c r="C38" s="9">
        <v>4545</v>
      </c>
      <c r="D38" s="9">
        <v>1932</v>
      </c>
      <c r="E38" s="9">
        <v>5331</v>
      </c>
      <c r="F38" s="9">
        <v>2416</v>
      </c>
      <c r="G38" s="9">
        <v>11250</v>
      </c>
      <c r="H38" s="9">
        <v>13278</v>
      </c>
    </row>
    <row r="39" spans="1:8" ht="11.25">
      <c r="A39" s="5" t="s">
        <v>32</v>
      </c>
      <c r="B39" s="7"/>
      <c r="C39" s="7"/>
      <c r="D39" s="7"/>
      <c r="E39" s="7"/>
      <c r="F39" s="7"/>
      <c r="G39" s="7"/>
      <c r="H39" s="7"/>
    </row>
    <row r="40" spans="1:8" ht="11.25">
      <c r="A40" s="7" t="s">
        <v>33</v>
      </c>
      <c r="B40" s="7"/>
      <c r="C40" s="8">
        <v>152</v>
      </c>
      <c r="D40" s="8">
        <v>665</v>
      </c>
      <c r="E40" s="8">
        <v>452</v>
      </c>
      <c r="F40" s="8">
        <v>493</v>
      </c>
      <c r="G40" s="8">
        <v>986</v>
      </c>
      <c r="H40" s="8">
        <v>4880</v>
      </c>
    </row>
    <row r="41" spans="1:8" ht="11.25">
      <c r="A41" s="7" t="s">
        <v>34</v>
      </c>
      <c r="B41" s="7"/>
      <c r="C41" s="8">
        <v>20292</v>
      </c>
      <c r="D41" s="8">
        <v>19124</v>
      </c>
      <c r="E41" s="8">
        <v>31122</v>
      </c>
      <c r="F41" s="8">
        <v>31675</v>
      </c>
      <c r="G41" s="8">
        <v>22581</v>
      </c>
      <c r="H41" s="8">
        <v>46090</v>
      </c>
    </row>
    <row r="42" spans="1:8" ht="11.25">
      <c r="A42" s="7" t="s">
        <v>35</v>
      </c>
      <c r="B42" s="7"/>
      <c r="C42" s="10">
        <f aca="true" t="shared" si="8" ref="C42:H42">C40/C11</f>
        <v>0.00018687774015633797</v>
      </c>
      <c r="D42" s="10">
        <f t="shared" si="8"/>
        <v>0.0007706794147472113</v>
      </c>
      <c r="E42" s="10">
        <f t="shared" si="8"/>
        <v>0.0005153892728336262</v>
      </c>
      <c r="F42" s="10">
        <f t="shared" si="8"/>
        <v>0.0005630965053751159</v>
      </c>
      <c r="G42" s="10">
        <f t="shared" si="8"/>
        <v>0.0011319411757952863</v>
      </c>
      <c r="H42" s="10">
        <f t="shared" si="8"/>
        <v>0.006836648921266461</v>
      </c>
    </row>
    <row r="43" spans="1:8" ht="11.25">
      <c r="A43" s="7" t="s">
        <v>36</v>
      </c>
      <c r="B43" s="7"/>
      <c r="C43" s="10">
        <f aca="true" t="shared" si="9" ref="C43:H43">C41/C11</f>
        <v>0.024948178310871122</v>
      </c>
      <c r="D43" s="10">
        <f t="shared" si="9"/>
        <v>0.022163117485151384</v>
      </c>
      <c r="E43" s="10">
        <f t="shared" si="9"/>
        <v>0.03548660386975246</v>
      </c>
      <c r="F43" s="10">
        <f t="shared" si="9"/>
        <v>0.036178664924455976</v>
      </c>
      <c r="G43" s="10">
        <f t="shared" si="9"/>
        <v>0.025923289747092657</v>
      </c>
      <c r="H43" s="10">
        <f t="shared" si="9"/>
        <v>0.06456990753712524</v>
      </c>
    </row>
    <row r="44" spans="1:8" ht="11.25">
      <c r="A44" s="11" t="s">
        <v>37</v>
      </c>
      <c r="B44" s="7"/>
      <c r="C44" s="10">
        <f aca="true" t="shared" si="10" ref="C44:H44">(C40+C41)/C11</f>
        <v>0.02513505605102746</v>
      </c>
      <c r="D44" s="10">
        <f t="shared" si="10"/>
        <v>0.022933796899898596</v>
      </c>
      <c r="E44" s="10">
        <f t="shared" si="10"/>
        <v>0.03600199314258609</v>
      </c>
      <c r="F44" s="10">
        <f t="shared" si="10"/>
        <v>0.03674176142983109</v>
      </c>
      <c r="G44" s="10">
        <f t="shared" si="10"/>
        <v>0.027055230922887943</v>
      </c>
      <c r="H44" s="10">
        <f t="shared" si="10"/>
        <v>0.07140655645839171</v>
      </c>
    </row>
    <row r="45" spans="1:8" ht="11.25">
      <c r="A45" s="7" t="s">
        <v>38</v>
      </c>
      <c r="B45" s="7"/>
      <c r="C45" s="10">
        <v>0.0187</v>
      </c>
      <c r="D45" s="10">
        <v>0.0152</v>
      </c>
      <c r="E45" s="10">
        <v>0.0128</v>
      </c>
      <c r="F45" s="10">
        <v>0.0115</v>
      </c>
      <c r="G45" s="10">
        <v>0.0103</v>
      </c>
      <c r="H45" s="10">
        <v>0.0101</v>
      </c>
    </row>
    <row r="46" spans="1:8" ht="11.25">
      <c r="A46" s="3" t="s">
        <v>39</v>
      </c>
      <c r="B46" s="3"/>
      <c r="C46" s="12">
        <v>0.7449</v>
      </c>
      <c r="D46" s="12">
        <v>0.6616</v>
      </c>
      <c r="E46" s="12">
        <v>0.3554</v>
      </c>
      <c r="F46" s="12">
        <v>0.3142</v>
      </c>
      <c r="G46" s="12">
        <v>0.382</v>
      </c>
      <c r="H46" s="12">
        <v>0.1415</v>
      </c>
    </row>
    <row r="47" spans="1:8" ht="11.25">
      <c r="A47" s="5" t="s">
        <v>40</v>
      </c>
      <c r="B47" s="7"/>
      <c r="C47" s="7"/>
      <c r="D47" s="7"/>
      <c r="E47" s="7"/>
      <c r="F47" s="7"/>
      <c r="G47" s="7"/>
      <c r="H47" s="7"/>
    </row>
    <row r="48" spans="1:8" ht="11.25">
      <c r="A48" s="7" t="s">
        <v>41</v>
      </c>
      <c r="B48" s="7"/>
      <c r="C48" s="10">
        <f aca="true" t="shared" si="11" ref="C48:H48">C23/(C11+C14)</f>
        <v>0.1028234091102758</v>
      </c>
      <c r="D48" s="10">
        <f t="shared" si="11"/>
        <v>0.10123885799078072</v>
      </c>
      <c r="E48" s="10">
        <f t="shared" si="11"/>
        <v>0.1038560829037996</v>
      </c>
      <c r="F48" s="10">
        <f t="shared" si="11"/>
        <v>0.10223000324029966</v>
      </c>
      <c r="G48" s="10">
        <f t="shared" si="11"/>
        <v>0.10139841450175956</v>
      </c>
      <c r="H48" s="10">
        <f t="shared" si="11"/>
        <v>0.11526774601139064</v>
      </c>
    </row>
    <row r="49" spans="1:8" ht="11.25">
      <c r="A49" s="3" t="s">
        <v>42</v>
      </c>
      <c r="B49" s="3"/>
      <c r="C49" s="12">
        <f aca="true" t="shared" si="12" ref="C49:H49">C23/C11</f>
        <v>0.1335179980476194</v>
      </c>
      <c r="D49" s="12">
        <f t="shared" si="12"/>
        <v>0.12397971896276981</v>
      </c>
      <c r="E49" s="12">
        <f t="shared" si="12"/>
        <v>0.12243231810008358</v>
      </c>
      <c r="F49" s="12">
        <f t="shared" si="12"/>
        <v>0.12071852484706162</v>
      </c>
      <c r="G49" s="12">
        <f t="shared" si="12"/>
        <v>0.11977682620225699</v>
      </c>
      <c r="H49" s="12">
        <f t="shared" si="12"/>
        <v>0.13700616419165032</v>
      </c>
    </row>
    <row r="50" spans="1:8" ht="11.25">
      <c r="A50" s="5" t="s">
        <v>43</v>
      </c>
      <c r="B50" s="7"/>
      <c r="C50" s="7"/>
      <c r="D50" s="7"/>
      <c r="E50" s="7"/>
      <c r="F50" s="7"/>
      <c r="G50" s="7"/>
      <c r="H50" s="7"/>
    </row>
    <row r="51" spans="1:8" ht="11.25">
      <c r="A51" s="7" t="s">
        <v>44</v>
      </c>
      <c r="B51" s="7"/>
      <c r="C51" s="13">
        <f aca="true" t="shared" si="13" ref="C51:H51">C10/C15</f>
        <v>0.2244364553370312</v>
      </c>
      <c r="D51" s="13">
        <f t="shared" si="13"/>
        <v>0.20814666044230154</v>
      </c>
      <c r="E51" s="13">
        <f t="shared" si="13"/>
        <v>0.20075586451222366</v>
      </c>
      <c r="F51" s="13">
        <f t="shared" si="13"/>
        <v>0.20192502632465015</v>
      </c>
      <c r="G51" s="13">
        <f t="shared" si="13"/>
        <v>0.20926208308708932</v>
      </c>
      <c r="H51" s="13">
        <f t="shared" si="13"/>
        <v>0.23622065507436454</v>
      </c>
    </row>
    <row r="52" spans="1:8" ht="11.25">
      <c r="A52" s="7" t="s">
        <v>45</v>
      </c>
      <c r="B52" s="7"/>
      <c r="C52" s="13">
        <f aca="true" t="shared" si="14" ref="C52:H52">C10/C9</f>
        <v>0.1789039272965726</v>
      </c>
      <c r="D52" s="13">
        <f t="shared" si="14"/>
        <v>0.1727600519894344</v>
      </c>
      <c r="E52" s="13">
        <f t="shared" si="14"/>
        <v>0.17063594149711592</v>
      </c>
      <c r="F52" s="13">
        <f t="shared" si="14"/>
        <v>0.1710848515483826</v>
      </c>
      <c r="G52" s="13">
        <f t="shared" si="14"/>
        <v>0.17821230820773554</v>
      </c>
      <c r="H52" s="13">
        <f t="shared" si="14"/>
        <v>0.20035446723503036</v>
      </c>
    </row>
    <row r="53" spans="1:8" ht="11.25">
      <c r="A53" s="3" t="s">
        <v>46</v>
      </c>
      <c r="B53" s="3"/>
      <c r="C53" s="14">
        <f aca="true" t="shared" si="15" ref="C53:H53">(C10+C14)/C15</f>
        <v>0.4498766041919292</v>
      </c>
      <c r="D53" s="14">
        <f t="shared" si="15"/>
        <v>0.37695701704268336</v>
      </c>
      <c r="E53" s="14">
        <f t="shared" si="15"/>
        <v>0.34080954107078126</v>
      </c>
      <c r="F53" s="14">
        <f t="shared" si="15"/>
        <v>0.3433404217124107</v>
      </c>
      <c r="G53" s="14">
        <f t="shared" si="15"/>
        <v>0.3491502476912131</v>
      </c>
      <c r="H53" s="14">
        <f t="shared" si="15"/>
        <v>0.3781453511480723</v>
      </c>
    </row>
    <row r="54" spans="1:8" ht="11.25">
      <c r="A54" s="5" t="s">
        <v>47</v>
      </c>
      <c r="B54" s="7"/>
      <c r="C54" s="7"/>
      <c r="D54" s="7"/>
      <c r="E54" s="7"/>
      <c r="F54" s="7"/>
      <c r="G54" s="7"/>
      <c r="H54" s="7"/>
    </row>
    <row r="55" spans="1:8" ht="11.25">
      <c r="A55" s="7" t="s">
        <v>48</v>
      </c>
      <c r="B55" s="7"/>
      <c r="C55" s="10">
        <f>(C38)/C26</f>
        <v>0.004359459235219443</v>
      </c>
      <c r="D55" s="10">
        <f>((D38)/0.75)/D26</f>
        <v>0.002516054989866432</v>
      </c>
      <c r="E55" s="10">
        <f>((E38)/0.5)/E26</f>
        <v>0.010926576114025002</v>
      </c>
      <c r="F55" s="10">
        <f>((F38)/0.25)/F26</f>
        <v>0.010135450479032183</v>
      </c>
      <c r="G55" s="10">
        <f>G38/G26</f>
        <v>0.011984870299733616</v>
      </c>
      <c r="H55" s="10">
        <f>H38/H26</f>
        <v>0.016093716384307476</v>
      </c>
    </row>
    <row r="56" spans="1:8" ht="11.25">
      <c r="A56" s="7" t="s">
        <v>49</v>
      </c>
      <c r="B56" s="7"/>
      <c r="C56" s="10">
        <f>(C38)/C25</f>
        <v>0.003396359655432027</v>
      </c>
      <c r="D56" s="10">
        <f>((D38)/0.75)/D25</f>
        <v>0.001962974760229034</v>
      </c>
      <c r="E56" s="10">
        <f>((E38)/0.5)/E25</f>
        <v>0.00837000082428258</v>
      </c>
      <c r="F56" s="10">
        <f>((F38)/0.25)/F25</f>
        <v>0.007709256372660858</v>
      </c>
      <c r="G56" s="10">
        <f>G38/G25</f>
        <v>0.009207877031871531</v>
      </c>
      <c r="H56" s="10">
        <f>H38/H25</f>
        <v>0.012761706039608576</v>
      </c>
    </row>
    <row r="57" spans="1:8" ht="11.25">
      <c r="A57" s="7" t="s">
        <v>50</v>
      </c>
      <c r="B57" s="7"/>
      <c r="C57" s="10">
        <f>(C38)/C29</f>
        <v>0.042689484485730254</v>
      </c>
      <c r="D57" s="10">
        <f>((D38)/0.75)/D29</f>
        <v>0.024717893605588393</v>
      </c>
      <c r="E57" s="10">
        <f>((E38)/0.5)/E29</f>
        <v>0.10316799876144214</v>
      </c>
      <c r="F57" s="10">
        <f>((F38)/0.25)/F29</f>
        <v>0.09333410596666088</v>
      </c>
      <c r="G57" s="10">
        <f>G38/G29</f>
        <v>0.11131505127913362</v>
      </c>
      <c r="H57" s="10">
        <f>H38/H29</f>
        <v>0.1449065004938258</v>
      </c>
    </row>
    <row r="58" spans="1:8" ht="11.25">
      <c r="A58" s="7" t="s">
        <v>51</v>
      </c>
      <c r="B58" s="7"/>
      <c r="C58" s="10">
        <f>(C31)/C25</f>
        <v>0.08382021338404833</v>
      </c>
      <c r="D58" s="10">
        <f>((D31)/0.75)/D25</f>
        <v>0.08567693926310212</v>
      </c>
      <c r="E58" s="10">
        <f>((E31)/0.5)/E25</f>
        <v>0.08570968767540538</v>
      </c>
      <c r="F58" s="10">
        <f>((F31)/0.25)/F25</f>
        <v>0.0862313510822794</v>
      </c>
      <c r="G58" s="10">
        <f>G31/G25</f>
        <v>0.08077558971336903</v>
      </c>
      <c r="H58" s="10">
        <f>H31/H25</f>
        <v>0.08672443297725566</v>
      </c>
    </row>
    <row r="59" spans="1:8" ht="11.25">
      <c r="A59" s="7" t="s">
        <v>52</v>
      </c>
      <c r="B59" s="7"/>
      <c r="C59" s="10">
        <f>(C32)/C25</f>
        <v>0.061503627080457104</v>
      </c>
      <c r="D59" s="10">
        <f>((D32)/0.75)/D25</f>
        <v>0.062319368474848875</v>
      </c>
      <c r="E59" s="10">
        <f>((E32)/0.5)/E25</f>
        <v>0.06300816039753972</v>
      </c>
      <c r="F59" s="10">
        <f>((F32)/0.25)/F25</f>
        <v>0.06357583773546976</v>
      </c>
      <c r="G59" s="10">
        <f>G32/G25</f>
        <v>0.059829920280246855</v>
      </c>
      <c r="H59" s="10">
        <f>H32/H25</f>
        <v>0.06011207580518743</v>
      </c>
    </row>
    <row r="60" spans="1:8" ht="11.25">
      <c r="A60" s="7" t="s">
        <v>53</v>
      </c>
      <c r="B60" s="7"/>
      <c r="C60" s="10">
        <f>(C33)/C25</f>
        <v>0.02231658630359121</v>
      </c>
      <c r="D60" s="10">
        <f>((D33)/0.75)/D25</f>
        <v>0.02335757078825324</v>
      </c>
      <c r="E60" s="10">
        <f>((E33)/0.5)/E25</f>
        <v>0.022701527277865657</v>
      </c>
      <c r="F60" s="10">
        <f>((F33)/0.25)/F25</f>
        <v>0.022655513346809642</v>
      </c>
      <c r="G60" s="10">
        <f>G33/G25</f>
        <v>0.020945669433122167</v>
      </c>
      <c r="H60" s="10">
        <f>H33/H25</f>
        <v>0.02661235717206822</v>
      </c>
    </row>
    <row r="61" spans="1:8" ht="11.25">
      <c r="A61" s="7" t="s">
        <v>54</v>
      </c>
      <c r="B61" s="7"/>
      <c r="C61" s="10">
        <f>(C36)/(C35)</f>
        <v>0.7193807339449542</v>
      </c>
      <c r="D61" s="10">
        <f>((D36)/0.75)/((D35)/0.75)</f>
        <v>0.7665340392869452</v>
      </c>
      <c r="E61" s="10">
        <f>((E36)/0.5)/((E35)/0.5)</f>
        <v>0.6262468979611697</v>
      </c>
      <c r="F61" s="10">
        <f>(F36/0.25)/(F35/0.25)</f>
        <v>0.638922640745241</v>
      </c>
      <c r="G61" s="10">
        <f>G36/G35</f>
        <v>0.6263084810937833</v>
      </c>
      <c r="H61" s="10">
        <f>H36/H35</f>
        <v>0.546216429484912</v>
      </c>
    </row>
    <row r="62" spans="1:8" ht="11.25">
      <c r="A62" s="3" t="s">
        <v>55</v>
      </c>
      <c r="B62" s="3"/>
      <c r="C62" s="12">
        <f>(C34)/C25</f>
        <v>0.010264553625305681</v>
      </c>
      <c r="D62" s="12">
        <f>((D34)/0.75)/D25</f>
        <v>0.009073170087394033</v>
      </c>
      <c r="E62" s="12">
        <f>((E34)/0.5)/E25</f>
        <v>0.009564818049433405</v>
      </c>
      <c r="F62" s="12">
        <f>(F34/0.255)/F25</f>
        <v>0.008684300614573814</v>
      </c>
      <c r="G62" s="12">
        <f>G34/G25</f>
        <v>0.0097046931526134</v>
      </c>
      <c r="H62" s="12">
        <f>H34/H25</f>
        <v>0.008709638509634953</v>
      </c>
    </row>
    <row r="63" spans="1:8" ht="11.25">
      <c r="A63" s="5" t="s">
        <v>56</v>
      </c>
      <c r="B63" s="7"/>
      <c r="C63" s="7"/>
      <c r="D63" s="7"/>
      <c r="E63" s="7"/>
      <c r="F63" s="7"/>
      <c r="G63" s="7"/>
      <c r="H63" s="7"/>
    </row>
    <row r="64" spans="1:8" ht="11.25">
      <c r="A64" s="7" t="s">
        <v>57</v>
      </c>
      <c r="B64" s="7"/>
      <c r="C64" s="8">
        <v>709</v>
      </c>
      <c r="D64" s="8">
        <v>756</v>
      </c>
      <c r="E64" s="8">
        <v>824</v>
      </c>
      <c r="F64" s="8">
        <v>880</v>
      </c>
      <c r="G64" s="8">
        <v>830</v>
      </c>
      <c r="H64" s="8">
        <v>752</v>
      </c>
    </row>
    <row r="65" spans="1:8" ht="11.25">
      <c r="A65" s="7" t="s">
        <v>58</v>
      </c>
      <c r="B65" s="7"/>
      <c r="C65" s="8">
        <v>33</v>
      </c>
      <c r="D65" s="8">
        <v>33</v>
      </c>
      <c r="E65" s="8">
        <v>33</v>
      </c>
      <c r="F65" s="8">
        <v>33</v>
      </c>
      <c r="G65" s="8">
        <v>33</v>
      </c>
      <c r="H65" s="8">
        <v>24</v>
      </c>
    </row>
    <row r="66" spans="1:8" ht="11.25">
      <c r="A66" s="7" t="s">
        <v>59</v>
      </c>
      <c r="B66" s="7"/>
      <c r="C66" s="8">
        <f aca="true" t="shared" si="16" ref="C66:H66">C11/C64</f>
        <v>1147.2016925246826</v>
      </c>
      <c r="D66" s="8">
        <f t="shared" si="16"/>
        <v>1141.3690476190477</v>
      </c>
      <c r="E66" s="8">
        <f t="shared" si="16"/>
        <v>1064.3288834951456</v>
      </c>
      <c r="F66" s="8">
        <f t="shared" si="16"/>
        <v>994.9045454545454</v>
      </c>
      <c r="G66" s="8">
        <f t="shared" si="16"/>
        <v>1049.4819277108434</v>
      </c>
      <c r="H66" s="8">
        <f t="shared" si="16"/>
        <v>949.2021276595744</v>
      </c>
    </row>
    <row r="67" spans="1:8" ht="11.25">
      <c r="A67" s="7" t="s">
        <v>60</v>
      </c>
      <c r="B67" s="7"/>
      <c r="C67" s="8">
        <f aca="true" t="shared" si="17" ref="C67:H67">C15/C64</f>
        <v>1519.0719322990126</v>
      </c>
      <c r="D67" s="8">
        <f t="shared" si="17"/>
        <v>1518.7513227513227</v>
      </c>
      <c r="E67" s="8">
        <f t="shared" si="17"/>
        <v>1359.2742718446602</v>
      </c>
      <c r="F67" s="8">
        <f t="shared" si="17"/>
        <v>1272.355681818182</v>
      </c>
      <c r="G67" s="8">
        <f t="shared" si="17"/>
        <v>1359.7867469879518</v>
      </c>
      <c r="H67" s="8">
        <f t="shared" si="17"/>
        <v>1261.3071808510638</v>
      </c>
    </row>
    <row r="68" spans="1:8" ht="11.25">
      <c r="A68" s="3" t="s">
        <v>61</v>
      </c>
      <c r="B68" s="3"/>
      <c r="C68" s="9">
        <f aca="true" t="shared" si="18" ref="C68:H68">C38/C64</f>
        <v>6.410437235543018</v>
      </c>
      <c r="D68" s="9">
        <f t="shared" si="18"/>
        <v>2.5555555555555554</v>
      </c>
      <c r="E68" s="9">
        <f t="shared" si="18"/>
        <v>6.469660194174757</v>
      </c>
      <c r="F68" s="9">
        <f t="shared" si="18"/>
        <v>2.7454545454545456</v>
      </c>
      <c r="G68" s="9">
        <f t="shared" si="18"/>
        <v>13.55421686746988</v>
      </c>
      <c r="H68" s="9">
        <f t="shared" si="18"/>
        <v>17.65691489361702</v>
      </c>
    </row>
    <row r="69" spans="1:8" ht="11.25">
      <c r="A69" s="5" t="s">
        <v>62</v>
      </c>
      <c r="B69" s="7"/>
      <c r="C69" s="7"/>
      <c r="D69" s="7"/>
      <c r="E69" s="7"/>
      <c r="F69" s="7"/>
      <c r="G69" s="7"/>
      <c r="H69" s="7"/>
    </row>
    <row r="70" spans="1:8" ht="11.25">
      <c r="A70" s="7" t="s">
        <v>63</v>
      </c>
      <c r="B70" s="7"/>
      <c r="C70" s="10">
        <f>(C9-G9)/G9</f>
        <v>0.01952142293372933</v>
      </c>
      <c r="D70" s="10">
        <f>(D9-1241321)/1241321</f>
        <v>0.11442406919725034</v>
      </c>
      <c r="E70" s="10">
        <f>(E9-1229923)/1229923</f>
        <v>0.07140609615398688</v>
      </c>
      <c r="F70" s="10">
        <f>(F9-1185611)/1185611</f>
        <v>0.11462191224609083</v>
      </c>
      <c r="G70" s="10">
        <f>(G9-H9)/H9</f>
        <v>0.185070526818433</v>
      </c>
      <c r="H70" s="10">
        <f>(H9-962614)/962614</f>
        <v>0.16173045478249848</v>
      </c>
    </row>
    <row r="71" spans="1:8" ht="11.25">
      <c r="A71" s="7" t="s">
        <v>64</v>
      </c>
      <c r="B71" s="7"/>
      <c r="C71" s="10">
        <f>(C11-G11)/G11</f>
        <v>-0.06624496309137039</v>
      </c>
      <c r="D71" s="10">
        <f>D11/536011-1</f>
        <v>0.6098083807981554</v>
      </c>
      <c r="E71" s="10">
        <f>E11/764926-1</f>
        <v>0.146525284798791</v>
      </c>
      <c r="F71" s="10">
        <f>F11/724499-1</f>
        <v>0.20844335188868435</v>
      </c>
      <c r="G71" s="10">
        <f>(G11-H11)/H11</f>
        <v>0.22032782291958533</v>
      </c>
      <c r="H71" s="10">
        <f>(H11-585777)/585777</f>
        <v>0.2185524525544704</v>
      </c>
    </row>
    <row r="72" spans="1:8" ht="11.25">
      <c r="A72" s="7"/>
      <c r="B72" s="7" t="s">
        <v>13</v>
      </c>
      <c r="C72" s="10">
        <f>(C12-G12)/G12</f>
        <v>-0.06626359114522222</v>
      </c>
      <c r="D72" s="10">
        <f>D12/833470-1</f>
        <v>0.032641846737135216</v>
      </c>
      <c r="E72" s="10">
        <f>E12/761517-1</f>
        <v>0.14952785033032745</v>
      </c>
      <c r="F72" s="10">
        <f>F12/720494-1</f>
        <v>0.21297887282892014</v>
      </c>
      <c r="G72" s="10">
        <f>(G12-H12)/H12</f>
        <v>0.22485279634114896</v>
      </c>
      <c r="H72" s="10">
        <f>(H12-584017)/584017</f>
        <v>0.2152574325747367</v>
      </c>
    </row>
    <row r="73" spans="1:8" ht="11.25">
      <c r="A73" s="7"/>
      <c r="B73" s="7" t="s">
        <v>14</v>
      </c>
      <c r="C73" s="10">
        <f>(C13-G13)/G13</f>
        <v>-0.05701254275940707</v>
      </c>
      <c r="D73" s="10">
        <f>D13/2541-1</f>
        <v>-0.13459268004722547</v>
      </c>
      <c r="E73" s="10">
        <f>E13/3409-1</f>
        <v>-0.5242006453505427</v>
      </c>
      <c r="F73" s="10">
        <f>F13/4006-1</f>
        <v>-0.6075886170743885</v>
      </c>
      <c r="G73" s="10">
        <f>(G13-H13)/H13</f>
        <v>-0.5689358564757926</v>
      </c>
      <c r="H73" s="10">
        <f>(H13-1759)/1759</f>
        <v>1.3132461625923821</v>
      </c>
    </row>
    <row r="74" spans="1:8" ht="11.25">
      <c r="A74" s="7" t="s">
        <v>65</v>
      </c>
      <c r="B74" s="7"/>
      <c r="C74" s="10">
        <f>(C15-G15)/G15</f>
        <v>-0.045720315818479684</v>
      </c>
      <c r="D74" s="10">
        <f>D15/1048397-1</f>
        <v>0.0951729163666053</v>
      </c>
      <c r="E74" s="10">
        <f>E15/1044523-1</f>
        <v>0.07229998764986512</v>
      </c>
      <c r="F74" s="10">
        <f>F15/987073-1</f>
        <v>0.1343365688252034</v>
      </c>
      <c r="G74" s="10">
        <f>(G15-H15)/H15</f>
        <v>0.18989924122538357</v>
      </c>
      <c r="H74" s="10">
        <f>(H15-812312)/812312</f>
        <v>0.1676584859019687</v>
      </c>
    </row>
    <row r="75" spans="1:8" ht="11.25">
      <c r="A75" s="7"/>
      <c r="B75" s="7" t="s">
        <v>13</v>
      </c>
      <c r="C75" s="10">
        <f>(C16-D16)/D16</f>
        <v>-0.023936518959170972</v>
      </c>
      <c r="D75" s="10">
        <f>D16/1042818-1</f>
        <v>0.038441990836368456</v>
      </c>
      <c r="E75" s="10">
        <f>E16/1038633-1</f>
        <v>0.01034821732026625</v>
      </c>
      <c r="F75" s="10">
        <f>F16/971294-1</f>
        <v>0.10341564963852345</v>
      </c>
      <c r="G75" s="10">
        <f>(G16-H16)/H16</f>
        <v>0.15163950250762584</v>
      </c>
      <c r="H75" s="10">
        <f>(H16-794227)/794227</f>
        <v>0.17391627330725346</v>
      </c>
    </row>
    <row r="76" spans="1:8" ht="11.25">
      <c r="A76" s="7"/>
      <c r="B76" s="7" t="s">
        <v>14</v>
      </c>
      <c r="C76" s="10">
        <f>(C20-G20)/G20</f>
        <v>-0.6349275758403935</v>
      </c>
      <c r="D76" s="10">
        <f>D20/5579-1</f>
        <v>10.699229252554222</v>
      </c>
      <c r="E76" s="10">
        <f>E20/5889-1</f>
        <v>10.998811343182204</v>
      </c>
      <c r="F76" s="10">
        <f>F20/15779-1</f>
        <v>2.0377083465365358</v>
      </c>
      <c r="G76" s="10">
        <f>(G20-H20)/H20</f>
        <v>2.399083421068929</v>
      </c>
      <c r="H76" s="10">
        <f>(H20-18084)/18084</f>
        <v>-0.10711125857111259</v>
      </c>
    </row>
    <row r="77" spans="1:8" ht="11.25">
      <c r="A77" s="7" t="s">
        <v>66</v>
      </c>
      <c r="B77" s="7"/>
      <c r="C77" s="15">
        <f>(C23-G23)/G23</f>
        <v>0.04087833304579523</v>
      </c>
      <c r="D77" s="15">
        <f>(D23-101454)/101454</f>
        <v>0.05445817809056321</v>
      </c>
      <c r="E77" s="15">
        <f>(E23-99318)/99318</f>
        <v>0.08111319196923016</v>
      </c>
      <c r="F77" s="15">
        <f>(F23-101394)/101394</f>
        <v>0.042379233485216085</v>
      </c>
      <c r="G77" s="10">
        <f>(G23-H23)/H23</f>
        <v>0.06686435911856434</v>
      </c>
      <c r="H77" s="15">
        <f>(H23-85468)/85468</f>
        <v>0.14422941919782842</v>
      </c>
    </row>
    <row r="78" spans="1:8" ht="11.25">
      <c r="A78" s="3" t="s">
        <v>67</v>
      </c>
      <c r="B78" s="3"/>
      <c r="C78" s="12">
        <f>C38/G38-1</f>
        <v>-0.596</v>
      </c>
      <c r="D78" s="12">
        <f>D38/7682-1</f>
        <v>-0.7485029940119761</v>
      </c>
      <c r="E78" s="12">
        <f>E38/4313-1</f>
        <v>0.2360306051472294</v>
      </c>
      <c r="F78" s="12">
        <f>F38/2665-1</f>
        <v>-0.09343339587242028</v>
      </c>
      <c r="G78" s="12">
        <f>(G38-H38)/H38</f>
        <v>-0.1527338454586534</v>
      </c>
      <c r="H78" s="12">
        <f>(H38-10784)/10784</f>
        <v>0.2312685459940653</v>
      </c>
    </row>
    <row r="79" spans="1:8" ht="11.25">
      <c r="A79" s="7"/>
      <c r="B79" s="7"/>
      <c r="C79" s="7"/>
      <c r="D79" s="7"/>
      <c r="E79" s="7"/>
      <c r="F79" s="7"/>
      <c r="G79" s="7"/>
      <c r="H79" s="7"/>
    </row>
    <row r="80" spans="1:8" ht="9">
      <c r="A80" s="2"/>
      <c r="B80" s="2"/>
      <c r="C80" s="2"/>
      <c r="D80" s="2"/>
      <c r="E80" s="2"/>
      <c r="F80" s="2"/>
      <c r="G80" s="2"/>
      <c r="H80" s="2"/>
    </row>
    <row r="81" spans="1:8" ht="9">
      <c r="A81" s="2"/>
      <c r="B81" s="2"/>
      <c r="C81" s="2"/>
      <c r="D81" s="2"/>
      <c r="E81" s="2"/>
      <c r="F81" s="2"/>
      <c r="G81" s="2"/>
      <c r="H81" s="2"/>
    </row>
    <row r="82" spans="1:8" ht="9">
      <c r="A82" s="2"/>
      <c r="B82" s="2"/>
      <c r="C82" s="2"/>
      <c r="D82" s="2"/>
      <c r="E82" s="2"/>
      <c r="F82" s="2"/>
      <c r="G82" s="2"/>
      <c r="H82" s="2"/>
    </row>
    <row r="83" spans="1:8" ht="9">
      <c r="A83" s="2"/>
      <c r="B83" s="2"/>
      <c r="C83" s="2"/>
      <c r="D83" s="2"/>
      <c r="E83" s="2"/>
      <c r="F83" s="2"/>
      <c r="G83" s="2"/>
      <c r="H83" s="2"/>
    </row>
    <row r="84" spans="1:8" ht="9">
      <c r="A84" s="2"/>
      <c r="B84" s="2"/>
      <c r="C84" s="2"/>
      <c r="D84" s="2"/>
      <c r="E84" s="2"/>
      <c r="F84" s="2"/>
      <c r="G84" s="2"/>
      <c r="H84" s="2"/>
    </row>
    <row r="85" spans="1:8" ht="9">
      <c r="A85" s="2"/>
      <c r="B85" s="2"/>
      <c r="C85" s="2"/>
      <c r="D85" s="2"/>
      <c r="E85" s="2"/>
      <c r="F85" s="2"/>
      <c r="G85" s="2"/>
      <c r="H85" s="2"/>
    </row>
    <row r="86" spans="1:8" ht="9">
      <c r="A86" s="2"/>
      <c r="B86" s="2"/>
      <c r="C86" s="2"/>
      <c r="D86" s="2"/>
      <c r="E86" s="2"/>
      <c r="F86" s="2"/>
      <c r="G86" s="2"/>
      <c r="H86" s="2"/>
    </row>
    <row r="87" spans="1:8" ht="9">
      <c r="A87" s="2"/>
      <c r="B87" s="2"/>
      <c r="C87" s="2"/>
      <c r="D87" s="2"/>
      <c r="E87" s="2"/>
      <c r="F87" s="2"/>
      <c r="G87" s="2"/>
      <c r="H87" s="2"/>
    </row>
    <row r="88" spans="1:8" ht="9">
      <c r="A88" s="2"/>
      <c r="B88" s="2"/>
      <c r="C88" s="2"/>
      <c r="D88" s="2"/>
      <c r="E88" s="2"/>
      <c r="F88" s="2"/>
      <c r="G88" s="2"/>
      <c r="H88" s="2"/>
    </row>
    <row r="89" spans="1:8" ht="9">
      <c r="A89" s="2"/>
      <c r="B89" s="2"/>
      <c r="C89" s="2"/>
      <c r="D89" s="2"/>
      <c r="E89" s="2"/>
      <c r="F89" s="2"/>
      <c r="G89" s="2"/>
      <c r="H89" s="2"/>
    </row>
    <row r="90" spans="1:8" ht="9">
      <c r="A90" s="2"/>
      <c r="B90" s="2"/>
      <c r="C90" s="2"/>
      <c r="D90" s="2"/>
      <c r="E90" s="2"/>
      <c r="F90" s="2"/>
      <c r="G90" s="2"/>
      <c r="H90" s="2"/>
    </row>
    <row r="91" spans="1:8" ht="9">
      <c r="A91" s="2"/>
      <c r="B91" s="2"/>
      <c r="C91" s="2"/>
      <c r="D91" s="2"/>
      <c r="E91" s="2"/>
      <c r="F91" s="2"/>
      <c r="G91" s="2"/>
      <c r="H91" s="2"/>
    </row>
  </sheetData>
  <sheetProtection password="CD66" sheet="1" objects="1" scenarios="1"/>
  <printOptions horizontalCentered="1"/>
  <pageMargins left="0.75" right="0.75" top="0.3937007874015748" bottom="1" header="0" footer="0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2002-05-02T19:12:00Z</cp:lastPrinted>
  <dcterms:created xsi:type="dcterms:W3CDTF">2002-03-08T15:07:25Z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