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Sudameris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<sst xmlns="http://schemas.openxmlformats.org/spreadsheetml/2006/main" count="80" uniqueCount="68">
  <si>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18-49    BANQUE SUDAMERIS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</si>
  <si>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</si>
  <si>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</si>
  <si>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</si>
  <si>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</si>
  <si>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</si>
  <si>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</si>
  <si>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</si>
  <si>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</si>
  <si>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</si>
  <si>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</si>
  <si>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</si>
  <si>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</si>
  <si>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</si>
  <si>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</si>
  <si>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</si>
  <si>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</si>
  <si>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</si>
  <si>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</si>
  <si>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</si>
  <si>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</si>
  <si>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</si>
  <si>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</si>
  <si>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</si>
  <si>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</si>
  <si>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</si>
  <si>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</si>
  <si>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</si>
  <si>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</si>
  <si>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</si>
  <si>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</si>
  <si>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</si>
  <si>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</si>
  <si>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</si>
  <si>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</si>
  <si>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</si>
  <si>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</si>
  <si>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</si>
  <si>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</si>
  <si>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</si>
  <si>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</si>
  <si>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Activos Generadores de Ingreso</t>
  </si>
  <si>
    <t>Patrimonio /Activos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</si>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</sst>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3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_(* #,##0.0000_);_(* \(#,##0.0000\);_(* &quot;-&quot;??_);_(@_)"/>
    <numFmt numFmtId="183" formatCode="0.00000"/>
    <numFmt numFmtId="184" formatCode="0.0000"/>
    <numFmt numFmtId="185" formatCode="0.000"/>
    <numFmt numFmtId="186" formatCode="0.0"/>
    <numFmt numFmtId="187" formatCode="_ * #,##0.000_ ;_ * \-#,##0.000_ ;_ * &quot;-&quot;??_ ;_ @_ "/>
    <numFmt numFmtId="188" formatCode="_ * #,##0.0000_ ;_ * \-#,##0.0000_ ;_ * &quot;-&quot;??_ ;_ @_ "/>
  </numFmts>
  <fonts count="5">
    <font>
      <sz val="10"/>
      <name val="Arial"/>
      <family val="0"/>
    </font>
    <font>
      <sz val="7"/>
      <name val="Arial"/>
      <family val="0"/>
    </font>
    <font>
      <sz val="7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0" fontId="4" fillId="0" borderId="0" xfId="0" applyFont="1" applyAlignment="1">
      <alignment/>
    </xf>
    <xf numFmtId="179" fontId="4" fillId="0" borderId="0" xfId="15" applyNumberFormat="1" applyFont="1" applyAlignment="1">
      <alignment/>
    </xf>
    <xf numFmtId="179" fontId="4" fillId="0" borderId="1" xfId="15" applyNumberFormat="1" applyFont="1" applyBorder="1" applyAlignment="1">
      <alignment/>
    </xf>
    <xf numFmtId="10" fontId="4" fillId="0" borderId="0" xfId="19" applyNumberFormat="1" applyFont="1" applyAlignment="1">
      <alignment/>
    </xf>
    <xf numFmtId="0" fontId="4" fillId="0" borderId="0" xfId="0" applyFont="1" applyBorder="1" applyAlignment="1">
      <alignment/>
    </xf>
    <xf numFmtId="10" fontId="4" fillId="0" borderId="1" xfId="19" applyNumberFormat="1" applyFont="1" applyBorder="1" applyAlignment="1">
      <alignment/>
    </xf>
    <xf numFmtId="181" fontId="4" fillId="0" borderId="0" xfId="19" applyNumberFormat="1" applyFont="1" applyAlignment="1">
      <alignment/>
    </xf>
    <xf numFmtId="181" fontId="4" fillId="0" borderId="1" xfId="19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4" sqref="B14"/>
    </sheetView>
  </sheetViews>
  <sheetFormatPr defaultColWidth="11.421875" defaultRowHeight="12.75"/>
  <cols>
    <col min="1" max="1" width="3.421875" style="1" customWidth="1"/>
    <col min="2" max="2" width="34.28125" style="1" customWidth="1"/>
    <col min="3" max="3" width="11.421875" style="1" customWidth="1"/>
    <col min="4" max="4" width="9.57421875" style="1" customWidth="1"/>
    <col min="5" max="6" width="9.7109375" style="1" customWidth="1"/>
    <col min="7" max="16384" width="11.421875" style="1" customWidth="1"/>
  </cols>
  <sheetData>
    <row r="1" spans="2:8" ht="11.25">
      <c r="B1" s="15"/>
      <c r="C1" s="15"/>
      <c r="D1" s="15"/>
      <c r="E1" s="15"/>
      <c r="F1" s="15"/>
      <c r="G1" s="15"/>
      <c r="H1" s="15"/>
    </row>
    <row r="2" spans="2:8" ht="11.25">
      <c r="B2" s="15"/>
      <c r="C2" s="15"/>
      <c r="D2" s="15"/>
      <c r="E2" s="15"/>
      <c r="F2" s="15" t="s">
        <v>0</v>
      </c>
      <c r="G2" s="15"/>
      <c r="H2" s="15"/>
    </row>
    <row r="3" spans="2:8" ht="11.25">
      <c r="B3" s="16"/>
      <c r="C3" s="16"/>
      <c r="D3" s="16"/>
      <c r="E3" s="16"/>
      <c r="F3" s="15" t="s">
        <v>1</v>
      </c>
      <c r="G3" s="16"/>
      <c r="H3" s="16"/>
    </row>
    <row r="4" spans="1:8" ht="11.25">
      <c r="A4" s="16"/>
      <c r="B4" s="16"/>
      <c r="C4" s="16"/>
      <c r="D4" s="16"/>
      <c r="E4" s="16"/>
      <c r="F4" s="16" t="s">
        <v>2</v>
      </c>
      <c r="G4" s="16"/>
      <c r="H4" s="16"/>
    </row>
    <row r="5" spans="1:8" ht="11.25">
      <c r="A5" s="16"/>
      <c r="B5" s="16"/>
      <c r="C5" s="16"/>
      <c r="D5" s="16"/>
      <c r="E5" s="16"/>
      <c r="F5" s="16"/>
      <c r="G5" s="16"/>
      <c r="H5" s="16"/>
    </row>
    <row r="6" spans="1:8" ht="11.25">
      <c r="A6" s="17"/>
      <c r="B6" s="17"/>
      <c r="C6" s="17"/>
      <c r="D6" s="17"/>
      <c r="E6" s="17"/>
      <c r="F6" s="17"/>
      <c r="G6" s="17"/>
      <c r="H6" s="17"/>
    </row>
    <row r="7" spans="1:8" ht="11.25">
      <c r="A7" s="4"/>
      <c r="B7" s="4"/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</row>
    <row r="8" spans="1:8" ht="11.25">
      <c r="A8" s="5" t="s">
        <v>9</v>
      </c>
      <c r="B8" s="5"/>
      <c r="C8" s="6"/>
      <c r="D8" s="6"/>
      <c r="E8" s="6"/>
      <c r="F8" s="6"/>
      <c r="G8" s="6"/>
      <c r="H8" s="6"/>
    </row>
    <row r="9" spans="1:8" ht="11.25">
      <c r="A9" s="7" t="s">
        <v>10</v>
      </c>
      <c r="B9" s="7"/>
      <c r="C9" s="8">
        <v>804592</v>
      </c>
      <c r="D9" s="8">
        <v>733540</v>
      </c>
      <c r="E9" s="8">
        <v>663025</v>
      </c>
      <c r="F9" s="8">
        <v>659551</v>
      </c>
      <c r="G9" s="8">
        <v>600074</v>
      </c>
      <c r="H9" s="8">
        <v>638992</v>
      </c>
    </row>
    <row r="10" spans="1:8" ht="11.25">
      <c r="A10" s="7" t="s">
        <v>11</v>
      </c>
      <c r="B10" s="7"/>
      <c r="C10" s="8">
        <v>411671</v>
      </c>
      <c r="D10" s="8">
        <v>317704</v>
      </c>
      <c r="E10" s="8">
        <v>268333</v>
      </c>
      <c r="F10" s="8">
        <v>302251</v>
      </c>
      <c r="G10" s="8">
        <v>251114</v>
      </c>
      <c r="H10" s="8">
        <v>338853</v>
      </c>
    </row>
    <row r="11" spans="1:8" ht="11.25">
      <c r="A11" s="7" t="s">
        <v>12</v>
      </c>
      <c r="B11" s="7"/>
      <c r="C11" s="8">
        <f aca="true" t="shared" si="0" ref="C11:H11">C12+C13</f>
        <v>290420</v>
      </c>
      <c r="D11" s="8">
        <f t="shared" si="0"/>
        <v>301518</v>
      </c>
      <c r="E11" s="8">
        <f t="shared" si="0"/>
        <v>262993</v>
      </c>
      <c r="F11" s="8">
        <f t="shared" si="0"/>
        <v>246504</v>
      </c>
      <c r="G11" s="8">
        <f t="shared" si="0"/>
        <v>266933</v>
      </c>
      <c r="H11" s="8">
        <f t="shared" si="0"/>
        <v>203471</v>
      </c>
    </row>
    <row r="12" spans="1:8" ht="11.25">
      <c r="A12" s="7"/>
      <c r="B12" s="7" t="s">
        <v>13</v>
      </c>
      <c r="C12" s="8">
        <v>12465</v>
      </c>
      <c r="D12" s="8">
        <v>12458</v>
      </c>
      <c r="E12" s="8">
        <v>16404</v>
      </c>
      <c r="F12" s="8">
        <v>15740</v>
      </c>
      <c r="G12" s="8">
        <v>16185</v>
      </c>
      <c r="H12" s="8">
        <v>19195</v>
      </c>
    </row>
    <row r="13" spans="1:8" ht="11.25">
      <c r="A13" s="7"/>
      <c r="B13" s="7" t="s">
        <v>14</v>
      </c>
      <c r="C13" s="8">
        <v>277955</v>
      </c>
      <c r="D13" s="8">
        <v>289060</v>
      </c>
      <c r="E13" s="8">
        <v>246589</v>
      </c>
      <c r="F13" s="8">
        <v>230764</v>
      </c>
      <c r="G13" s="8">
        <v>250748</v>
      </c>
      <c r="H13" s="8">
        <v>184276</v>
      </c>
    </row>
    <row r="14" spans="1:8" ht="11.25">
      <c r="A14" s="7" t="s">
        <v>15</v>
      </c>
      <c r="B14" s="7"/>
      <c r="C14" s="8">
        <v>79496</v>
      </c>
      <c r="D14" s="8">
        <v>88451</v>
      </c>
      <c r="E14" s="8">
        <v>104195</v>
      </c>
      <c r="F14" s="8">
        <v>84163</v>
      </c>
      <c r="G14" s="8">
        <v>56741</v>
      </c>
      <c r="H14" s="8">
        <v>79191</v>
      </c>
    </row>
    <row r="15" spans="1:8" ht="11.25">
      <c r="A15" s="7" t="s">
        <v>16</v>
      </c>
      <c r="B15" s="7"/>
      <c r="C15" s="8">
        <f aca="true" t="shared" si="1" ref="C15:H15">C16+C20</f>
        <v>767860</v>
      </c>
      <c r="D15" s="8">
        <f t="shared" si="1"/>
        <v>698796</v>
      </c>
      <c r="E15" s="8">
        <f t="shared" si="1"/>
        <v>629621</v>
      </c>
      <c r="F15" s="8">
        <f t="shared" si="1"/>
        <v>628073</v>
      </c>
      <c r="G15" s="8">
        <f t="shared" si="1"/>
        <v>562495</v>
      </c>
      <c r="H15" s="8">
        <f t="shared" si="1"/>
        <v>609987</v>
      </c>
    </row>
    <row r="16" spans="1:8" ht="11.25">
      <c r="A16" s="7"/>
      <c r="B16" s="7" t="s">
        <v>13</v>
      </c>
      <c r="C16" s="8">
        <f aca="true" t="shared" si="2" ref="C16:H16">SUM(C17:C19)</f>
        <v>199098</v>
      </c>
      <c r="D16" s="8">
        <f t="shared" si="2"/>
        <v>140357</v>
      </c>
      <c r="E16" s="8">
        <f t="shared" si="2"/>
        <v>84042</v>
      </c>
      <c r="F16" s="8">
        <f t="shared" si="2"/>
        <v>39523</v>
      </c>
      <c r="G16" s="8">
        <f t="shared" si="2"/>
        <v>45769</v>
      </c>
      <c r="H16" s="8">
        <f t="shared" si="2"/>
        <v>153078</v>
      </c>
    </row>
    <row r="17" spans="1:8" ht="11.25">
      <c r="A17" s="7"/>
      <c r="B17" s="7" t="s">
        <v>17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1.25">
      <c r="A18" s="7"/>
      <c r="B18" s="7" t="s">
        <v>18</v>
      </c>
      <c r="C18" s="8">
        <v>24800</v>
      </c>
      <c r="D18" s="8">
        <v>24922</v>
      </c>
      <c r="E18" s="8">
        <v>21421</v>
      </c>
      <c r="F18" s="8">
        <v>15448</v>
      </c>
      <c r="G18" s="8">
        <v>15480</v>
      </c>
      <c r="H18" s="8">
        <v>15430</v>
      </c>
    </row>
    <row r="19" spans="1:8" ht="11.25">
      <c r="A19" s="7"/>
      <c r="B19" s="7" t="s">
        <v>19</v>
      </c>
      <c r="C19" s="8">
        <v>174298</v>
      </c>
      <c r="D19" s="8">
        <v>115435</v>
      </c>
      <c r="E19" s="8">
        <v>62621</v>
      </c>
      <c r="F19" s="8">
        <v>24075</v>
      </c>
      <c r="G19" s="8">
        <v>30289</v>
      </c>
      <c r="H19" s="8">
        <v>137648</v>
      </c>
    </row>
    <row r="20" spans="1:8" ht="11.25">
      <c r="A20" s="7"/>
      <c r="B20" s="7" t="s">
        <v>14</v>
      </c>
      <c r="C20" s="8">
        <f aca="true" t="shared" si="3" ref="C20:H20">SUM(C21:C22)</f>
        <v>568762</v>
      </c>
      <c r="D20" s="8">
        <f t="shared" si="3"/>
        <v>558439</v>
      </c>
      <c r="E20" s="8">
        <f t="shared" si="3"/>
        <v>545579</v>
      </c>
      <c r="F20" s="8">
        <f t="shared" si="3"/>
        <v>588550</v>
      </c>
      <c r="G20" s="8">
        <f t="shared" si="3"/>
        <v>516726</v>
      </c>
      <c r="H20" s="8">
        <f t="shared" si="3"/>
        <v>456909</v>
      </c>
    </row>
    <row r="21" spans="1:8" ht="11.25">
      <c r="A21" s="7"/>
      <c r="B21" s="7" t="s">
        <v>18</v>
      </c>
      <c r="C21" s="8">
        <v>275154</v>
      </c>
      <c r="D21" s="8">
        <v>242880</v>
      </c>
      <c r="E21" s="8">
        <v>232724</v>
      </c>
      <c r="F21" s="8">
        <v>310958</v>
      </c>
      <c r="G21" s="8">
        <v>278695</v>
      </c>
      <c r="H21" s="8">
        <v>241977</v>
      </c>
    </row>
    <row r="22" spans="1:8" ht="11.25">
      <c r="A22" s="7"/>
      <c r="B22" s="7" t="s">
        <v>19</v>
      </c>
      <c r="C22" s="8">
        <v>293608</v>
      </c>
      <c r="D22" s="8">
        <v>315559</v>
      </c>
      <c r="E22" s="8">
        <v>312855</v>
      </c>
      <c r="F22" s="8">
        <v>277592</v>
      </c>
      <c r="G22" s="8">
        <v>238031</v>
      </c>
      <c r="H22" s="8">
        <v>214932</v>
      </c>
    </row>
    <row r="23" spans="1:8" ht="11.25">
      <c r="A23" s="3" t="s">
        <v>20</v>
      </c>
      <c r="B23" s="3"/>
      <c r="C23" s="9">
        <v>17845</v>
      </c>
      <c r="D23" s="9">
        <v>17012</v>
      </c>
      <c r="E23" s="9">
        <v>14897</v>
      </c>
      <c r="F23" s="9">
        <v>9785</v>
      </c>
      <c r="G23" s="9">
        <v>14617</v>
      </c>
      <c r="H23" s="9">
        <v>5800</v>
      </c>
    </row>
    <row r="24" spans="1:8" ht="11.25">
      <c r="A24" s="5" t="s">
        <v>21</v>
      </c>
      <c r="B24" s="7"/>
      <c r="C24" s="8"/>
      <c r="D24" s="8"/>
      <c r="E24" s="8"/>
      <c r="F24" s="8"/>
      <c r="G24" s="8"/>
      <c r="H24" s="8"/>
    </row>
    <row r="25" spans="1:8" ht="11.25">
      <c r="A25" s="7" t="s">
        <v>10</v>
      </c>
      <c r="B25" s="7"/>
      <c r="C25" s="8">
        <f>(804592+600074)/2</f>
        <v>702333</v>
      </c>
      <c r="D25" s="8">
        <f>(D9+790250)/2</f>
        <v>761895</v>
      </c>
      <c r="E25" s="8">
        <f>(E9+733333)/2</f>
        <v>698179</v>
      </c>
      <c r="F25" s="8">
        <f>(F9+685339)/2</f>
        <v>672445</v>
      </c>
      <c r="G25" s="8">
        <f>(G9+H9)/2</f>
        <v>619533</v>
      </c>
      <c r="H25" s="8">
        <f>(H9+827468)/2</f>
        <v>733230</v>
      </c>
    </row>
    <row r="26" spans="1:8" ht="11.25">
      <c r="A26" s="7" t="s">
        <v>22</v>
      </c>
      <c r="B26" s="7"/>
      <c r="C26" s="8">
        <f aca="true" t="shared" si="4" ref="C26:H26">C27+C28</f>
        <v>346795</v>
      </c>
      <c r="D26" s="8">
        <f t="shared" si="4"/>
        <v>404057</v>
      </c>
      <c r="E26" s="8">
        <f t="shared" si="4"/>
        <v>381464</v>
      </c>
      <c r="F26" s="8">
        <f t="shared" si="4"/>
        <v>372055</v>
      </c>
      <c r="G26" s="8">
        <f t="shared" si="4"/>
        <v>303168</v>
      </c>
      <c r="H26" s="8">
        <f t="shared" si="4"/>
        <v>352877.5</v>
      </c>
    </row>
    <row r="27" spans="1:8" ht="11.25">
      <c r="A27" s="7"/>
      <c r="B27" s="7" t="s">
        <v>12</v>
      </c>
      <c r="C27" s="8">
        <f>(C11+G11)/2</f>
        <v>278676.5</v>
      </c>
      <c r="D27" s="8">
        <f>(D11+361915)/2</f>
        <v>331716.5</v>
      </c>
      <c r="E27" s="8">
        <f>(E11+334658)/2</f>
        <v>298825.5</v>
      </c>
      <c r="F27" s="8">
        <f>(F11+347891)/2</f>
        <v>297197.5</v>
      </c>
      <c r="G27" s="8">
        <f>(G11+H11)/2</f>
        <v>235202</v>
      </c>
      <c r="H27" s="8">
        <f>(H11+335546)/2</f>
        <v>269508.5</v>
      </c>
    </row>
    <row r="28" spans="1:8" ht="11.25">
      <c r="A28" s="7"/>
      <c r="B28" s="7" t="s">
        <v>15</v>
      </c>
      <c r="C28" s="8">
        <f>(C14+G14)/2</f>
        <v>68118.5</v>
      </c>
      <c r="D28" s="8">
        <f>(D14+56230)/2</f>
        <v>72340.5</v>
      </c>
      <c r="E28" s="8">
        <f>(E14+61082)/2</f>
        <v>82638.5</v>
      </c>
      <c r="F28" s="8">
        <f>(F14+65552)/2</f>
        <v>74857.5</v>
      </c>
      <c r="G28" s="8">
        <f>(G14+H14)/2</f>
        <v>67966</v>
      </c>
      <c r="H28" s="8">
        <f>(H14+87547)/2</f>
        <v>83369</v>
      </c>
    </row>
    <row r="29" spans="1:8" ht="11.25">
      <c r="A29" s="3" t="s">
        <v>20</v>
      </c>
      <c r="B29" s="3"/>
      <c r="C29" s="9">
        <f>(C23+G23)/2</f>
        <v>16231</v>
      </c>
      <c r="D29" s="9">
        <f>(D23+9117)/2</f>
        <v>13064.5</v>
      </c>
      <c r="E29" s="9">
        <f>(E23+7356)/2</f>
        <v>11126.5</v>
      </c>
      <c r="F29" s="9">
        <f>(F23+6316)/2</f>
        <v>8050.5</v>
      </c>
      <c r="G29" s="9">
        <f>(G23+H23)/2</f>
        <v>10208.5</v>
      </c>
      <c r="H29" s="9">
        <f>(H23+4400)/2</f>
        <v>5100</v>
      </c>
    </row>
    <row r="30" spans="1:8" ht="11.25">
      <c r="A30" s="5" t="s">
        <v>23</v>
      </c>
      <c r="B30" s="7"/>
      <c r="C30" s="7"/>
      <c r="D30" s="7"/>
      <c r="E30" s="7"/>
      <c r="F30" s="7"/>
      <c r="G30" s="7"/>
      <c r="H30" s="7"/>
    </row>
    <row r="31" spans="1:8" ht="11.25">
      <c r="A31" s="7" t="s">
        <v>24</v>
      </c>
      <c r="B31" s="7"/>
      <c r="C31" s="8">
        <f>14109+D31</f>
        <v>48688</v>
      </c>
      <c r="D31" s="8">
        <f>12458+E31</f>
        <v>34579</v>
      </c>
      <c r="E31" s="8">
        <f>12196+F31</f>
        <v>22121</v>
      </c>
      <c r="F31" s="8">
        <v>9925</v>
      </c>
      <c r="G31" s="8">
        <v>44127</v>
      </c>
      <c r="H31" s="8">
        <v>51216</v>
      </c>
    </row>
    <row r="32" spans="1:8" ht="11.25">
      <c r="A32" s="7" t="s">
        <v>25</v>
      </c>
      <c r="B32" s="7"/>
      <c r="C32" s="8">
        <f>12264+D32</f>
        <v>42055</v>
      </c>
      <c r="D32" s="8">
        <f>11117+E32</f>
        <v>29791</v>
      </c>
      <c r="E32" s="8">
        <f>10223+F32</f>
        <v>18674</v>
      </c>
      <c r="F32" s="8">
        <v>8451</v>
      </c>
      <c r="G32" s="8">
        <v>37424</v>
      </c>
      <c r="H32" s="8">
        <v>41783</v>
      </c>
    </row>
    <row r="33" spans="1:8" ht="11.25">
      <c r="A33" s="7" t="s">
        <v>26</v>
      </c>
      <c r="B33" s="7"/>
      <c r="C33" s="8">
        <f aca="true" t="shared" si="5" ref="C33:H33">C31-C32</f>
        <v>6633</v>
      </c>
      <c r="D33" s="8">
        <f t="shared" si="5"/>
        <v>4788</v>
      </c>
      <c r="E33" s="8">
        <f t="shared" si="5"/>
        <v>3447</v>
      </c>
      <c r="F33" s="8">
        <f t="shared" si="5"/>
        <v>1474</v>
      </c>
      <c r="G33" s="8">
        <f t="shared" si="5"/>
        <v>6703</v>
      </c>
      <c r="H33" s="8">
        <f t="shared" si="5"/>
        <v>9433</v>
      </c>
    </row>
    <row r="34" spans="1:8" ht="11.25">
      <c r="A34" s="7" t="s">
        <v>27</v>
      </c>
      <c r="B34" s="7"/>
      <c r="C34" s="8">
        <f>3553+D34</f>
        <v>16594</v>
      </c>
      <c r="D34" s="8">
        <f>4299+E34</f>
        <v>13041</v>
      </c>
      <c r="E34" s="8">
        <f>6075+F34</f>
        <v>8742</v>
      </c>
      <c r="F34" s="8">
        <v>2667</v>
      </c>
      <c r="G34" s="8">
        <v>8927</v>
      </c>
      <c r="H34" s="8">
        <v>6328</v>
      </c>
    </row>
    <row r="35" spans="1:8" ht="11.25">
      <c r="A35" s="7" t="s">
        <v>28</v>
      </c>
      <c r="B35" s="7"/>
      <c r="C35" s="8">
        <f aca="true" t="shared" si="6" ref="C35:H35">C33+C34</f>
        <v>23227</v>
      </c>
      <c r="D35" s="8">
        <f t="shared" si="6"/>
        <v>17829</v>
      </c>
      <c r="E35" s="8">
        <f t="shared" si="6"/>
        <v>12189</v>
      </c>
      <c r="F35" s="8">
        <f t="shared" si="6"/>
        <v>4141</v>
      </c>
      <c r="G35" s="8">
        <f t="shared" si="6"/>
        <v>15630</v>
      </c>
      <c r="H35" s="8">
        <f t="shared" si="6"/>
        <v>15761</v>
      </c>
    </row>
    <row r="36" spans="1:8" ht="11.25">
      <c r="A36" s="7" t="s">
        <v>29</v>
      </c>
      <c r="B36" s="7"/>
      <c r="C36" s="8">
        <f>1108+D36</f>
        <v>4429</v>
      </c>
      <c r="D36" s="8">
        <f>1126+E36</f>
        <v>3321</v>
      </c>
      <c r="E36" s="8">
        <f>1158+F36</f>
        <v>2195</v>
      </c>
      <c r="F36" s="8">
        <v>1037</v>
      </c>
      <c r="G36" s="8">
        <v>4253</v>
      </c>
      <c r="H36" s="8">
        <v>4181</v>
      </c>
    </row>
    <row r="37" spans="1:8" ht="11.25">
      <c r="A37" s="7" t="s">
        <v>30</v>
      </c>
      <c r="B37" s="7"/>
      <c r="C37" s="8">
        <f aca="true" t="shared" si="7" ref="C37:H37">C35-C36</f>
        <v>18798</v>
      </c>
      <c r="D37" s="8">
        <f t="shared" si="7"/>
        <v>14508</v>
      </c>
      <c r="E37" s="8">
        <f t="shared" si="7"/>
        <v>9994</v>
      </c>
      <c r="F37" s="8">
        <f t="shared" si="7"/>
        <v>3104</v>
      </c>
      <c r="G37" s="8">
        <f t="shared" si="7"/>
        <v>11377</v>
      </c>
      <c r="H37" s="8">
        <f t="shared" si="7"/>
        <v>11580</v>
      </c>
    </row>
    <row r="38" spans="1:8" ht="11.25">
      <c r="A38" s="3" t="s">
        <v>31</v>
      </c>
      <c r="B38" s="3"/>
      <c r="C38" s="9">
        <f>831+D38</f>
        <v>10645</v>
      </c>
      <c r="D38" s="9">
        <f>2114+E38</f>
        <v>9814</v>
      </c>
      <c r="E38" s="9">
        <f>5113+F38</f>
        <v>7700</v>
      </c>
      <c r="F38" s="9">
        <v>2587</v>
      </c>
      <c r="G38" s="9">
        <v>8816</v>
      </c>
      <c r="H38" s="9">
        <v>1327</v>
      </c>
    </row>
    <row r="39" spans="1:8" ht="11.25">
      <c r="A39" s="5" t="s">
        <v>32</v>
      </c>
      <c r="B39" s="7"/>
      <c r="C39" s="8"/>
      <c r="D39" s="8"/>
      <c r="E39" s="8"/>
      <c r="F39" s="8"/>
      <c r="G39" s="8"/>
      <c r="H39" s="8"/>
    </row>
    <row r="40" spans="1:8" ht="11.25">
      <c r="A40" s="7" t="s">
        <v>33</v>
      </c>
      <c r="B40" s="7"/>
      <c r="C40" s="8">
        <v>10209</v>
      </c>
      <c r="D40" s="8">
        <v>9739</v>
      </c>
      <c r="E40" s="8">
        <v>4844</v>
      </c>
      <c r="F40" s="8">
        <v>4844</v>
      </c>
      <c r="G40" s="8">
        <v>4844</v>
      </c>
      <c r="H40" s="8">
        <v>4959</v>
      </c>
    </row>
    <row r="41" spans="1:8" ht="11.25">
      <c r="A41" s="7" t="s">
        <v>34</v>
      </c>
      <c r="B41" s="7"/>
      <c r="C41" s="8">
        <v>141</v>
      </c>
      <c r="D41" s="8">
        <v>0</v>
      </c>
      <c r="E41" s="8">
        <v>3213</v>
      </c>
      <c r="F41" s="8">
        <v>3321</v>
      </c>
      <c r="G41" s="8">
        <v>321</v>
      </c>
      <c r="H41" s="8">
        <v>363</v>
      </c>
    </row>
    <row r="42" spans="1:8" ht="11.25">
      <c r="A42" s="7" t="s">
        <v>35</v>
      </c>
      <c r="B42" s="7"/>
      <c r="C42" s="10">
        <f aca="true" t="shared" si="8" ref="C42:H42">C40/C11</f>
        <v>0.03515253770401487</v>
      </c>
      <c r="D42" s="10">
        <f t="shared" si="8"/>
        <v>0.032299895860280314</v>
      </c>
      <c r="E42" s="10">
        <f t="shared" si="8"/>
        <v>0.01841874118322541</v>
      </c>
      <c r="F42" s="10">
        <f t="shared" si="8"/>
        <v>0.019650796741635026</v>
      </c>
      <c r="G42" s="10">
        <f t="shared" si="8"/>
        <v>0.018146875807786973</v>
      </c>
      <c r="H42" s="10">
        <f t="shared" si="8"/>
        <v>0.024372023531608927</v>
      </c>
    </row>
    <row r="43" spans="1:8" ht="11.25">
      <c r="A43" s="7" t="s">
        <v>36</v>
      </c>
      <c r="B43" s="7"/>
      <c r="C43" s="10">
        <f aca="true" t="shared" si="9" ref="C43:H43">(C41)/C11</f>
        <v>0.00048550375318504236</v>
      </c>
      <c r="D43" s="10">
        <f t="shared" si="9"/>
        <v>0</v>
      </c>
      <c r="E43" s="10">
        <f t="shared" si="9"/>
        <v>0.012217055206792577</v>
      </c>
      <c r="F43" s="10">
        <f t="shared" si="9"/>
        <v>0.013472398013825333</v>
      </c>
      <c r="G43" s="10">
        <f t="shared" si="9"/>
        <v>0.001202548954231961</v>
      </c>
      <c r="H43" s="10">
        <f t="shared" si="9"/>
        <v>0.0017840380201601211</v>
      </c>
    </row>
    <row r="44" spans="1:8" ht="11.25">
      <c r="A44" s="11" t="s">
        <v>37</v>
      </c>
      <c r="B44" s="7"/>
      <c r="C44" s="10">
        <f aca="true" t="shared" si="10" ref="C44:H44">(C40+C41)/C11</f>
        <v>0.03563804145719992</v>
      </c>
      <c r="D44" s="10">
        <f t="shared" si="10"/>
        <v>0.032299895860280314</v>
      </c>
      <c r="E44" s="10">
        <f t="shared" si="10"/>
        <v>0.030635796390017987</v>
      </c>
      <c r="F44" s="10">
        <f t="shared" si="10"/>
        <v>0.033123194755460356</v>
      </c>
      <c r="G44" s="10">
        <f t="shared" si="10"/>
        <v>0.019349424762018935</v>
      </c>
      <c r="H44" s="10">
        <f t="shared" si="10"/>
        <v>0.02615606155176905</v>
      </c>
    </row>
    <row r="45" spans="1:8" ht="11.25">
      <c r="A45" s="7" t="s">
        <v>38</v>
      </c>
      <c r="B45" s="7"/>
      <c r="C45" s="10">
        <v>0.0194</v>
      </c>
      <c r="D45" s="10">
        <v>0.0138</v>
      </c>
      <c r="E45" s="10">
        <v>0.0129</v>
      </c>
      <c r="F45" s="10">
        <v>0.0133</v>
      </c>
      <c r="G45" s="10">
        <v>0.0119</v>
      </c>
      <c r="H45" s="10">
        <f>(2987/H11)</f>
        <v>0.014680224700325845</v>
      </c>
    </row>
    <row r="46" spans="1:8" ht="11.25">
      <c r="A46" s="3" t="s">
        <v>39</v>
      </c>
      <c r="B46" s="3"/>
      <c r="C46" s="12">
        <v>0.5456</v>
      </c>
      <c r="D46" s="12">
        <v>0.4281</v>
      </c>
      <c r="E46" s="12">
        <v>0.4198</v>
      </c>
      <c r="F46" s="12">
        <v>0.4022</v>
      </c>
      <c r="G46" s="12">
        <v>0.6169</v>
      </c>
      <c r="H46" s="12">
        <f>2987/(H40+H41)</f>
        <v>0.5612551672303645</v>
      </c>
    </row>
    <row r="47" spans="1:8" ht="11.25">
      <c r="A47" s="5" t="s">
        <v>40</v>
      </c>
      <c r="B47" s="7"/>
      <c r="C47" s="7"/>
      <c r="D47" s="7"/>
      <c r="E47" s="7"/>
      <c r="F47" s="7"/>
      <c r="G47" s="7"/>
      <c r="H47" s="7"/>
    </row>
    <row r="48" spans="1:8" ht="11.25">
      <c r="A48" s="7" t="s">
        <v>41</v>
      </c>
      <c r="B48" s="7"/>
      <c r="C48" s="10">
        <f aca="true" t="shared" si="11" ref="C48:H48">C23/(C11+C14)</f>
        <v>0.048240681668270634</v>
      </c>
      <c r="D48" s="10">
        <f t="shared" si="11"/>
        <v>0.04362398036767025</v>
      </c>
      <c r="E48" s="10">
        <f t="shared" si="11"/>
        <v>0.04057049794655599</v>
      </c>
      <c r="F48" s="10">
        <f t="shared" si="11"/>
        <v>0.029591704040620927</v>
      </c>
      <c r="G48" s="10">
        <f t="shared" si="11"/>
        <v>0.04515963592997893</v>
      </c>
      <c r="H48" s="10">
        <f t="shared" si="11"/>
        <v>0.020519206685016025</v>
      </c>
    </row>
    <row r="49" spans="1:8" ht="11.25">
      <c r="A49" s="3" t="s">
        <v>42</v>
      </c>
      <c r="B49" s="3"/>
      <c r="C49" s="12">
        <f aca="true" t="shared" si="12" ref="C49:H49">C23/C9</f>
        <v>0.022178942867938034</v>
      </c>
      <c r="D49" s="12">
        <f t="shared" si="12"/>
        <v>0.023191645990675355</v>
      </c>
      <c r="E49" s="12">
        <f t="shared" si="12"/>
        <v>0.022468232721239774</v>
      </c>
      <c r="F49" s="12">
        <f t="shared" si="12"/>
        <v>0.014835850449775681</v>
      </c>
      <c r="G49" s="12">
        <f t="shared" si="12"/>
        <v>0.024358662431633434</v>
      </c>
      <c r="H49" s="12">
        <f t="shared" si="12"/>
        <v>0.009076795953626962</v>
      </c>
    </row>
    <row r="50" spans="1:8" ht="11.25">
      <c r="A50" s="5" t="s">
        <v>43</v>
      </c>
      <c r="B50" s="7"/>
      <c r="C50" s="13"/>
      <c r="D50" s="13"/>
      <c r="E50" s="13"/>
      <c r="F50" s="13"/>
      <c r="G50" s="13"/>
      <c r="H50" s="13"/>
    </row>
    <row r="51" spans="1:8" ht="11.25">
      <c r="A51" s="7" t="s">
        <v>44</v>
      </c>
      <c r="B51" s="7"/>
      <c r="C51" s="13">
        <f aca="true" t="shared" si="13" ref="C51:H51">C10/C15</f>
        <v>0.5361276795249134</v>
      </c>
      <c r="D51" s="13">
        <f t="shared" si="13"/>
        <v>0.4546448462784561</v>
      </c>
      <c r="E51" s="13">
        <f t="shared" si="13"/>
        <v>0.42618178237384075</v>
      </c>
      <c r="F51" s="13">
        <f t="shared" si="13"/>
        <v>0.48123546148298046</v>
      </c>
      <c r="G51" s="13">
        <f t="shared" si="13"/>
        <v>0.4464288571453969</v>
      </c>
      <c r="H51" s="13">
        <f t="shared" si="13"/>
        <v>0.5555085600184922</v>
      </c>
    </row>
    <row r="52" spans="1:8" ht="11.25">
      <c r="A52" s="7" t="s">
        <v>45</v>
      </c>
      <c r="B52" s="7"/>
      <c r="C52" s="13">
        <f aca="true" t="shared" si="14" ref="C52:H52">C10/C9</f>
        <v>0.5116518682760952</v>
      </c>
      <c r="D52" s="13">
        <f t="shared" si="14"/>
        <v>0.4331106688115168</v>
      </c>
      <c r="E52" s="13">
        <f t="shared" si="14"/>
        <v>0.4047102296293503</v>
      </c>
      <c r="F52" s="13">
        <f t="shared" si="14"/>
        <v>0.4582678215937812</v>
      </c>
      <c r="G52" s="13">
        <f t="shared" si="14"/>
        <v>0.4184717218209754</v>
      </c>
      <c r="H52" s="13">
        <f t="shared" si="14"/>
        <v>0.5302930240128202</v>
      </c>
    </row>
    <row r="53" spans="1:8" ht="11.25">
      <c r="A53" s="3" t="s">
        <v>46</v>
      </c>
      <c r="B53" s="3"/>
      <c r="C53" s="14">
        <f aca="true" t="shared" si="15" ref="C53:H53">(C10+C14)/C15</f>
        <v>0.639656968718256</v>
      </c>
      <c r="D53" s="14">
        <f t="shared" si="15"/>
        <v>0.5812211289131592</v>
      </c>
      <c r="E53" s="14">
        <f t="shared" si="15"/>
        <v>0.5916702270095819</v>
      </c>
      <c r="F53" s="14">
        <f t="shared" si="15"/>
        <v>0.6152374007480023</v>
      </c>
      <c r="G53" s="14">
        <f t="shared" si="15"/>
        <v>0.5473026426901573</v>
      </c>
      <c r="H53" s="14">
        <f t="shared" si="15"/>
        <v>0.6853326382365525</v>
      </c>
    </row>
    <row r="54" spans="1:8" ht="11.25">
      <c r="A54" s="5" t="s">
        <v>47</v>
      </c>
      <c r="B54" s="7"/>
      <c r="C54" s="7"/>
      <c r="D54" s="7"/>
      <c r="E54" s="7"/>
      <c r="F54" s="7"/>
      <c r="G54" s="7"/>
      <c r="H54" s="7"/>
    </row>
    <row r="55" spans="1:8" ht="11.25">
      <c r="A55" s="7" t="s">
        <v>48</v>
      </c>
      <c r="B55" s="7"/>
      <c r="C55" s="10">
        <f>C38/C26</f>
        <v>0.030695367580270767</v>
      </c>
      <c r="D55" s="10">
        <f>(D38/0.75)/D26</f>
        <v>0.032384869791473314</v>
      </c>
      <c r="E55" s="10">
        <f>(E38/0.5)/E26</f>
        <v>0.04037078203972066</v>
      </c>
      <c r="F55" s="10">
        <f>((F38)/0.25)/F26</f>
        <v>0.027813092150354116</v>
      </c>
      <c r="G55" s="10">
        <f>G38/G26</f>
        <v>0.029079586236014355</v>
      </c>
      <c r="H55" s="10">
        <f>H38/H26</f>
        <v>0.0037605117923358673</v>
      </c>
    </row>
    <row r="56" spans="1:8" ht="11.25">
      <c r="A56" s="7" t="s">
        <v>49</v>
      </c>
      <c r="B56" s="7"/>
      <c r="C56" s="10">
        <f>C38/C25</f>
        <v>0.015156627981313708</v>
      </c>
      <c r="D56" s="10">
        <f>(D38/0.75)/D25</f>
        <v>0.017174720051100656</v>
      </c>
      <c r="E56" s="10">
        <f>(E38/0.5)/E25</f>
        <v>0.022057380700364806</v>
      </c>
      <c r="F56" s="10">
        <f>((F38)/0.25)/F25</f>
        <v>0.01538861914357308</v>
      </c>
      <c r="G56" s="10">
        <f>G38/G25</f>
        <v>0.014230073297144786</v>
      </c>
      <c r="H56" s="10">
        <f>H38/H25</f>
        <v>0.0018098004718846746</v>
      </c>
    </row>
    <row r="57" spans="1:8" ht="11.25">
      <c r="A57" s="7" t="s">
        <v>50</v>
      </c>
      <c r="B57" s="7"/>
      <c r="C57" s="10">
        <f>C38/C29</f>
        <v>0.6558437557759842</v>
      </c>
      <c r="D57" s="10">
        <f>(D38/0.75)/D29</f>
        <v>1.0015946521744679</v>
      </c>
      <c r="E57" s="10">
        <f>(E38/0.5)/E29</f>
        <v>1.3840830449826989</v>
      </c>
      <c r="F57" s="10">
        <f>((F38)/0.25)/F29</f>
        <v>1.2853860008695113</v>
      </c>
      <c r="G57" s="10">
        <f>G38/G29</f>
        <v>0.8635940637703874</v>
      </c>
      <c r="H57" s="10">
        <f>H38/H29</f>
        <v>0.26019607843137255</v>
      </c>
    </row>
    <row r="58" spans="1:8" ht="11.25">
      <c r="A58" s="7" t="s">
        <v>51</v>
      </c>
      <c r="B58" s="7"/>
      <c r="C58" s="10">
        <f>C31/C25</f>
        <v>0.06932324125450463</v>
      </c>
      <c r="D58" s="10">
        <f>(D31/0.75)/D25</f>
        <v>0.06051402533594962</v>
      </c>
      <c r="E58" s="10">
        <f>(E31/0.5)/E25</f>
        <v>0.06336770369776232</v>
      </c>
      <c r="F58" s="10">
        <f>((F31)/0.25)/F25</f>
        <v>0.059038285659050185</v>
      </c>
      <c r="G58" s="10">
        <f>G31/G25</f>
        <v>0.07122623007975362</v>
      </c>
      <c r="H58" s="10">
        <f>H31/H25</f>
        <v>0.0698498424778037</v>
      </c>
    </row>
    <row r="59" spans="1:8" ht="11.25">
      <c r="A59" s="7" t="s">
        <v>52</v>
      </c>
      <c r="B59" s="7"/>
      <c r="C59" s="10">
        <f>C32/C25</f>
        <v>0.059879003264833065</v>
      </c>
      <c r="D59" s="10">
        <f>(D32/0.75)/D25</f>
        <v>0.052134917978636605</v>
      </c>
      <c r="E59" s="10">
        <f>(E32/0.5)/E25</f>
        <v>0.05349344509072888</v>
      </c>
      <c r="F59" s="10">
        <f>((F32)/0.25)/F25</f>
        <v>0.05027028232792273</v>
      </c>
      <c r="G59" s="10">
        <f>G32/G25</f>
        <v>0.060406790275901366</v>
      </c>
      <c r="H59" s="10">
        <f>H32/H25</f>
        <v>0.05698484786492642</v>
      </c>
    </row>
    <row r="60" spans="1:8" ht="11.25">
      <c r="A60" s="7" t="s">
        <v>53</v>
      </c>
      <c r="B60" s="7"/>
      <c r="C60" s="10">
        <f>C33/C25</f>
        <v>0.009444237989671566</v>
      </c>
      <c r="D60" s="10">
        <f>(D33)/0.75/D25</f>
        <v>0.008379107357313016</v>
      </c>
      <c r="E60" s="10">
        <f>(E33/0.5)/E25</f>
        <v>0.00987425860703344</v>
      </c>
      <c r="F60" s="10">
        <f>((F33)/0.25)/F25</f>
        <v>0.008768003331127453</v>
      </c>
      <c r="G60" s="10">
        <f>G33/G25</f>
        <v>0.010819439803852256</v>
      </c>
      <c r="H60" s="10">
        <f>H33/H25</f>
        <v>0.01286499461287727</v>
      </c>
    </row>
    <row r="61" spans="1:8" ht="11.25">
      <c r="A61" s="7" t="s">
        <v>54</v>
      </c>
      <c r="B61" s="7"/>
      <c r="C61" s="10">
        <f>C36/C35</f>
        <v>0.19068325655487148</v>
      </c>
      <c r="D61" s="10">
        <f>(D36/0.75)/(D35/0.75)</f>
        <v>0.18626956082786472</v>
      </c>
      <c r="E61" s="10">
        <f>(E36/0.5)/(E35/0.5)</f>
        <v>0.18008040036098122</v>
      </c>
      <c r="F61" s="10">
        <f>(F36/0.25)/(F35/0.25)</f>
        <v>0.25042260323593335</v>
      </c>
      <c r="G61" s="10">
        <f>G36/G35</f>
        <v>0.27210492642354445</v>
      </c>
      <c r="H61" s="10">
        <f>H36/H35</f>
        <v>0.2652750459996193</v>
      </c>
    </row>
    <row r="62" spans="1:8" ht="11.25">
      <c r="A62" s="3" t="s">
        <v>55</v>
      </c>
      <c r="B62" s="3"/>
      <c r="C62" s="12">
        <f>C34/C25</f>
        <v>0.0236269689734072</v>
      </c>
      <c r="D62" s="12">
        <f>(D34/0.75)/D25</f>
        <v>0.022822042407418346</v>
      </c>
      <c r="E62" s="12">
        <f>(E34/0.5)/E25</f>
        <v>0.02504228858215443</v>
      </c>
      <c r="F62" s="12">
        <f>(F34/0.25)/F25</f>
        <v>0.015864494493973483</v>
      </c>
      <c r="G62" s="12">
        <f>G34/G25</f>
        <v>0.014409240508576622</v>
      </c>
      <c r="H62" s="12">
        <f>H34/H25</f>
        <v>0.008630306997804236</v>
      </c>
    </row>
    <row r="63" spans="1:8" ht="11.25">
      <c r="A63" s="5" t="s">
        <v>56</v>
      </c>
      <c r="B63" s="7"/>
      <c r="C63" s="7"/>
      <c r="D63" s="7"/>
      <c r="E63" s="7"/>
      <c r="F63" s="7"/>
      <c r="G63" s="7"/>
      <c r="H63" s="7"/>
    </row>
    <row r="64" spans="1:8" ht="11.25">
      <c r="A64" s="7" t="s">
        <v>57</v>
      </c>
      <c r="B64" s="7"/>
      <c r="C64" s="8">
        <v>59</v>
      </c>
      <c r="D64" s="8">
        <v>59</v>
      </c>
      <c r="E64" s="8">
        <v>58</v>
      </c>
      <c r="F64" s="8">
        <v>59</v>
      </c>
      <c r="G64" s="8">
        <v>55</v>
      </c>
      <c r="H64" s="8">
        <v>53</v>
      </c>
    </row>
    <row r="65" spans="1:8" ht="11.25">
      <c r="A65" s="7" t="s">
        <v>58</v>
      </c>
      <c r="B65" s="7"/>
      <c r="C65" s="8">
        <v>1</v>
      </c>
      <c r="D65" s="8">
        <v>1</v>
      </c>
      <c r="E65" s="8">
        <v>1</v>
      </c>
      <c r="F65" s="8">
        <v>1</v>
      </c>
      <c r="G65" s="8">
        <v>1</v>
      </c>
      <c r="H65" s="8">
        <v>1</v>
      </c>
    </row>
    <row r="66" spans="1:8" ht="11.25">
      <c r="A66" s="7" t="s">
        <v>59</v>
      </c>
      <c r="B66" s="7"/>
      <c r="C66" s="8">
        <f aca="true" t="shared" si="16" ref="C66:H66">C11/C64</f>
        <v>4922.372881355932</v>
      </c>
      <c r="D66" s="8">
        <f t="shared" si="16"/>
        <v>5110.474576271186</v>
      </c>
      <c r="E66" s="8">
        <f t="shared" si="16"/>
        <v>4534.362068965517</v>
      </c>
      <c r="F66" s="8">
        <f t="shared" si="16"/>
        <v>4178.033898305085</v>
      </c>
      <c r="G66" s="8">
        <f t="shared" si="16"/>
        <v>4853.327272727272</v>
      </c>
      <c r="H66" s="8">
        <f t="shared" si="16"/>
        <v>3839.0754716981132</v>
      </c>
    </row>
    <row r="67" spans="1:8" ht="11.25">
      <c r="A67" s="7" t="s">
        <v>60</v>
      </c>
      <c r="B67" s="7"/>
      <c r="C67" s="8">
        <f aca="true" t="shared" si="17" ref="C67:H67">C15/C64</f>
        <v>13014.57627118644</v>
      </c>
      <c r="D67" s="8">
        <f t="shared" si="17"/>
        <v>11844</v>
      </c>
      <c r="E67" s="8">
        <f t="shared" si="17"/>
        <v>10855.534482758621</v>
      </c>
      <c r="F67" s="8">
        <f t="shared" si="17"/>
        <v>10645.305084745763</v>
      </c>
      <c r="G67" s="8">
        <f t="shared" si="17"/>
        <v>10227.181818181818</v>
      </c>
      <c r="H67" s="8">
        <f t="shared" si="17"/>
        <v>11509.188679245282</v>
      </c>
    </row>
    <row r="68" spans="1:8" ht="11.25">
      <c r="A68" s="3" t="s">
        <v>61</v>
      </c>
      <c r="B68" s="3"/>
      <c r="C68" s="9">
        <f aca="true" t="shared" si="18" ref="C68:H68">(C38/C64)</f>
        <v>180.42372881355934</v>
      </c>
      <c r="D68" s="9">
        <f t="shared" si="18"/>
        <v>166.33898305084745</v>
      </c>
      <c r="E68" s="9">
        <f t="shared" si="18"/>
        <v>132.75862068965517</v>
      </c>
      <c r="F68" s="9">
        <f t="shared" si="18"/>
        <v>43.847457627118644</v>
      </c>
      <c r="G68" s="9">
        <f t="shared" si="18"/>
        <v>160.29090909090908</v>
      </c>
      <c r="H68" s="9">
        <f t="shared" si="18"/>
        <v>25.037735849056602</v>
      </c>
    </row>
    <row r="69" spans="1:8" ht="11.25">
      <c r="A69" s="5" t="s">
        <v>62</v>
      </c>
      <c r="B69" s="7"/>
      <c r="C69" s="7"/>
      <c r="D69" s="7"/>
      <c r="E69" s="7"/>
      <c r="F69" s="7"/>
      <c r="G69" s="7"/>
      <c r="H69" s="7"/>
    </row>
    <row r="70" spans="1:8" ht="11.25">
      <c r="A70" s="7" t="s">
        <v>63</v>
      </c>
      <c r="B70" s="7"/>
      <c r="C70" s="10">
        <f>(C9/G9)-1</f>
        <v>0.3408212987064929</v>
      </c>
      <c r="D70" s="10">
        <f>(D9/790247)-1</f>
        <v>-0.07175857674878872</v>
      </c>
      <c r="E70" s="10">
        <f>(E9/733333)-1</f>
        <v>-0.09587458903390411</v>
      </c>
      <c r="F70" s="10">
        <f>(F9/685339)-1</f>
        <v>-0.03762809354202812</v>
      </c>
      <c r="G70" s="10">
        <f>(G9/H9)-1</f>
        <v>-0.06090530084883694</v>
      </c>
      <c r="H70" s="10">
        <f>(H9/827468)-1</f>
        <v>-0.22777436710543486</v>
      </c>
    </row>
    <row r="71" spans="1:8" ht="11.25">
      <c r="A71" s="7" t="s">
        <v>64</v>
      </c>
      <c r="B71" s="7"/>
      <c r="C71" s="10">
        <f>(C11/G11)-1</f>
        <v>0.08798837161385076</v>
      </c>
      <c r="D71" s="10">
        <f>D11/361915-1</f>
        <v>-0.16688172637221443</v>
      </c>
      <c r="E71" s="10">
        <f>E11/334658-1</f>
        <v>-0.21414399177667942</v>
      </c>
      <c r="F71" s="10">
        <f>F11/347891-1</f>
        <v>-0.2914332362722807</v>
      </c>
      <c r="G71" s="10">
        <f>(G11/H11)-1</f>
        <v>0.3118970270947703</v>
      </c>
      <c r="H71" s="10">
        <f>H11/335546-1</f>
        <v>-0.3936122022017845</v>
      </c>
    </row>
    <row r="72" spans="1:8" ht="11.25">
      <c r="A72" s="7"/>
      <c r="B72" s="7" t="s">
        <v>13</v>
      </c>
      <c r="C72" s="10">
        <f>(C12/G12)-1</f>
        <v>-0.2298424467099166</v>
      </c>
      <c r="D72" s="10">
        <f>(D12/16059)-1</f>
        <v>-0.2242356311102809</v>
      </c>
      <c r="E72" s="10">
        <f>(E12/17607)-1</f>
        <v>-0.06832509797239739</v>
      </c>
      <c r="F72" s="10">
        <f>(F12/16231)-1</f>
        <v>-0.030250754728605722</v>
      </c>
      <c r="G72" s="10">
        <f>(G12/H12)-1</f>
        <v>-0.15681166970565252</v>
      </c>
      <c r="H72" s="10">
        <f>(H12/15797)-1</f>
        <v>0.21510413369627135</v>
      </c>
    </row>
    <row r="73" spans="1:8" ht="11.25">
      <c r="A73" s="7"/>
      <c r="B73" s="7" t="s">
        <v>14</v>
      </c>
      <c r="C73" s="10">
        <f>(C13/G13)-1</f>
        <v>0.10850335795300459</v>
      </c>
      <c r="D73" s="10">
        <f>(D13/345856)-1</f>
        <v>-0.16421863434492967</v>
      </c>
      <c r="E73" s="10">
        <f>(E13/317051)-1</f>
        <v>-0.22224184752610776</v>
      </c>
      <c r="F73" s="10">
        <f>(F13/331660)-1</f>
        <v>-0.3042151601037206</v>
      </c>
      <c r="G73" s="10">
        <f>(G13/H13)-1</f>
        <v>0.3607197898803969</v>
      </c>
      <c r="H73" s="10">
        <f>(H13/319749)-1</f>
        <v>-0.42368545327741447</v>
      </c>
    </row>
    <row r="74" spans="1:8" ht="11.25">
      <c r="A74" s="7" t="s">
        <v>65</v>
      </c>
      <c r="B74" s="7"/>
      <c r="C74" s="10">
        <f>(C15/G15)-1</f>
        <v>0.36509657863625455</v>
      </c>
      <c r="D74" s="10">
        <f>D15/753596-1</f>
        <v>-0.07271800805736761</v>
      </c>
      <c r="E74" s="10">
        <f>E15/698536-1</f>
        <v>-0.09865633267290452</v>
      </c>
      <c r="F74" s="10">
        <f>F15/653827-1</f>
        <v>-0.039389624472528695</v>
      </c>
      <c r="G74" s="10">
        <f>(G15/H15)-1</f>
        <v>-0.07785739696091887</v>
      </c>
      <c r="H74" s="10">
        <f>H15/796804-1</f>
        <v>-0.2344579093478446</v>
      </c>
    </row>
    <row r="75" spans="1:8" ht="11.25">
      <c r="A75" s="7"/>
      <c r="B75" s="7" t="s">
        <v>13</v>
      </c>
      <c r="C75" s="10">
        <f>(C16/G16)-1</f>
        <v>3.3500622692215254</v>
      </c>
      <c r="D75" s="10">
        <f>(D16/112569)-1</f>
        <v>0.24685304124581364</v>
      </c>
      <c r="E75" s="10">
        <f>(E16/104395)-1</f>
        <v>-0.19496144451362618</v>
      </c>
      <c r="F75" s="10">
        <f>(F16/125330)-1</f>
        <v>-0.68464852788638</v>
      </c>
      <c r="G75" s="10">
        <f>(G16/H16)-1</f>
        <v>-0.701008636120148</v>
      </c>
      <c r="H75" s="10">
        <f>(H16/132156)-1</f>
        <v>0.15831290293289757</v>
      </c>
    </row>
    <row r="76" spans="1:8" ht="11.25">
      <c r="A76" s="7"/>
      <c r="B76" s="7" t="s">
        <v>14</v>
      </c>
      <c r="C76" s="10">
        <f>(C20/G20)-1</f>
        <v>0.10070327407562218</v>
      </c>
      <c r="D76" s="10">
        <f>(D20/641027)-1</f>
        <v>-0.12883700686554544</v>
      </c>
      <c r="E76" s="10">
        <f>(E20/594141)-1</f>
        <v>-0.08173480705758396</v>
      </c>
      <c r="F76" s="10">
        <f>(F20/528497)-1</f>
        <v>0.11362978408581315</v>
      </c>
      <c r="G76" s="10">
        <f>(G20/H20)-1</f>
        <v>0.13091665955365284</v>
      </c>
      <c r="H76" s="10">
        <f>(H20/664648)-1</f>
        <v>-0.31255491628651555</v>
      </c>
    </row>
    <row r="77" spans="1:8" ht="11.25">
      <c r="A77" s="7" t="s">
        <v>66</v>
      </c>
      <c r="B77" s="7"/>
      <c r="C77" s="10">
        <f>(C23/G23)-1</f>
        <v>0.22083874940138193</v>
      </c>
      <c r="D77" s="10">
        <f>(D23/9117)-1</f>
        <v>0.8659646813644839</v>
      </c>
      <c r="E77" s="10">
        <f>(E23/7356)-1</f>
        <v>1.0251495377922786</v>
      </c>
      <c r="F77" s="10">
        <f>(F23/6319)-1</f>
        <v>0.5485045102073114</v>
      </c>
      <c r="G77" s="10">
        <f>(G23/H23)-1</f>
        <v>1.5201724137931034</v>
      </c>
      <c r="H77" s="10">
        <f>(H23/4400)-1</f>
        <v>0.3181818181818181</v>
      </c>
    </row>
    <row r="78" spans="1:8" ht="11.25">
      <c r="A78" s="3" t="s">
        <v>67</v>
      </c>
      <c r="B78" s="3"/>
      <c r="C78" s="12">
        <f>(C38/G38)-1</f>
        <v>0.20746370235934664</v>
      </c>
      <c r="D78" s="12">
        <f>(D38/3317)-1</f>
        <v>1.9586976183298161</v>
      </c>
      <c r="E78" s="12">
        <f>(E38/1558)-1</f>
        <v>3.942233632862645</v>
      </c>
      <c r="F78" s="12">
        <f>(F38/516)-1</f>
        <v>4.013565891472868</v>
      </c>
      <c r="G78" s="12">
        <f>(G38/H38)-1</f>
        <v>5.643556895252449</v>
      </c>
      <c r="H78" s="12">
        <f>(H38/1330)-1</f>
        <v>-0.0022556390977443996</v>
      </c>
    </row>
    <row r="79" spans="1:8" ht="11.25">
      <c r="A79" s="7"/>
      <c r="B79" s="7"/>
      <c r="C79" s="7"/>
      <c r="D79" s="7"/>
      <c r="E79" s="7"/>
      <c r="F79" s="7"/>
      <c r="G79" s="7"/>
      <c r="H79" s="7"/>
    </row>
    <row r="80" spans="1:8" ht="11.25">
      <c r="A80" s="7"/>
      <c r="B80" s="7"/>
      <c r="C80" s="7"/>
      <c r="D80" s="7"/>
      <c r="E80" s="7"/>
      <c r="F80" s="7"/>
      <c r="G80" s="7"/>
      <c r="H80" s="7"/>
    </row>
    <row r="81" spans="1:8" ht="11.25">
      <c r="A81" s="7"/>
      <c r="B81" s="7"/>
      <c r="C81" s="7"/>
      <c r="D81" s="7"/>
      <c r="E81" s="7"/>
      <c r="F81" s="7"/>
      <c r="G81" s="7"/>
      <c r="H81" s="7"/>
    </row>
    <row r="82" spans="1:8" ht="11.25">
      <c r="A82" s="7"/>
      <c r="B82" s="7"/>
      <c r="C82" s="7"/>
      <c r="D82" s="7"/>
      <c r="E82" s="7"/>
      <c r="F82" s="7"/>
      <c r="G82" s="7"/>
      <c r="H82" s="7"/>
    </row>
    <row r="83" spans="1:8" ht="11.25">
      <c r="A83" s="7"/>
      <c r="B83" s="7"/>
      <c r="C83" s="7"/>
      <c r="D83" s="7"/>
      <c r="E83" s="7"/>
      <c r="F83" s="7"/>
      <c r="G83" s="7"/>
      <c r="H83" s="7"/>
    </row>
    <row r="84" spans="1:8" ht="9">
      <c r="A84" s="2"/>
      <c r="B84" s="2"/>
      <c r="C84" s="2"/>
      <c r="D84" s="2"/>
      <c r="E84" s="2"/>
      <c r="F84" s="2"/>
      <c r="G84" s="2"/>
      <c r="H84" s="2"/>
    </row>
    <row r="85" spans="1:8" ht="9">
      <c r="A85" s="2"/>
      <c r="B85" s="2"/>
      <c r="C85" s="2"/>
      <c r="D85" s="2"/>
      <c r="E85" s="2"/>
      <c r="F85" s="2"/>
      <c r="G85" s="2"/>
      <c r="H85" s="2"/>
    </row>
    <row r="86" spans="1:8" ht="9">
      <c r="A86" s="2"/>
      <c r="B86" s="2"/>
      <c r="C86" s="2"/>
      <c r="D86" s="2"/>
      <c r="E86" s="2"/>
      <c r="F86" s="2"/>
      <c r="G86" s="2"/>
      <c r="H86" s="2"/>
    </row>
    <row r="87" spans="1:8" ht="9">
      <c r="A87" s="2"/>
      <c r="B87" s="2"/>
      <c r="C87" s="2"/>
      <c r="D87" s="2"/>
      <c r="E87" s="2"/>
      <c r="F87" s="2"/>
      <c r="G87" s="2"/>
      <c r="H87" s="2"/>
    </row>
    <row r="88" spans="1:8" ht="9">
      <c r="A88" s="2"/>
      <c r="B88" s="2"/>
      <c r="C88" s="2"/>
      <c r="D88" s="2"/>
      <c r="E88" s="2"/>
      <c r="F88" s="2"/>
      <c r="G88" s="2"/>
      <c r="H88" s="2"/>
    </row>
    <row r="89" spans="1:8" ht="9">
      <c r="A89" s="2"/>
      <c r="B89" s="2"/>
      <c r="C89" s="2"/>
      <c r="D89" s="2"/>
      <c r="E89" s="2"/>
      <c r="F89" s="2"/>
      <c r="G89" s="2"/>
      <c r="H89" s="2"/>
    </row>
    <row r="90" spans="1:8" ht="9">
      <c r="A90" s="2"/>
      <c r="B90" s="2"/>
      <c r="C90" s="2"/>
      <c r="D90" s="2"/>
      <c r="E90" s="2"/>
      <c r="F90" s="2"/>
      <c r="G90" s="2"/>
      <c r="H90" s="2"/>
    </row>
    <row r="91" spans="1:8" ht="9">
      <c r="A91" s="2"/>
      <c r="B91" s="2"/>
      <c r="C91" s="2"/>
      <c r="D91" s="2"/>
      <c r="E91" s="2"/>
      <c r="F91" s="2"/>
      <c r="G91" s="2"/>
      <c r="H91" s="2"/>
    </row>
  </sheetData>
  <sheetProtection password="CD66" sheet="1" objects="1" scenarios="1"/>
  <printOptions horizontalCentered="1"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2002-05-07T14:30:09Z</cp:lastPrinted>
  <dcterms:created xsi:type="dcterms:W3CDTF">2002-03-08T14:38:49Z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