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HSBC plc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<sst xmlns="http://schemas.openxmlformats.org/spreadsheetml/2006/main" count="80" uniqueCount="68">
  <si>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18-47    HSBC, plc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</si>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</sst>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"/>
    </sheetView>
  </sheetViews>
  <sheetFormatPr defaultColWidth="11.421875" defaultRowHeight="12.75"/>
  <cols>
    <col min="1" max="1" width="3.57421875" style="1" customWidth="1"/>
    <col min="2" max="2" width="33.140625" style="1" customWidth="1"/>
    <col min="3" max="3" width="11.28125" style="1" customWidth="1"/>
    <col min="4" max="4" width="9.140625" style="1" customWidth="1"/>
    <col min="5" max="5" width="9.7109375" style="1" customWidth="1"/>
    <col min="6" max="6" width="9.28125" style="1" customWidth="1"/>
    <col min="7" max="7" width="10.8515625" style="1" customWidth="1"/>
    <col min="8" max="8" width="11.140625" style="1" customWidth="1"/>
    <col min="9" max="16384" width="11.421875" style="1" customWidth="1"/>
  </cols>
  <sheetData>
    <row r="1" spans="2:8" ht="11.25">
      <c r="B1" s="14"/>
      <c r="C1" s="14"/>
      <c r="D1" s="14"/>
      <c r="E1" s="14"/>
      <c r="F1" s="14"/>
      <c r="G1" s="14"/>
      <c r="H1" s="14"/>
    </row>
    <row r="2" spans="2:8" ht="11.25">
      <c r="B2" s="14"/>
      <c r="C2" s="14"/>
      <c r="D2" s="14"/>
      <c r="E2" s="14"/>
      <c r="F2" s="14" t="s">
        <v>0</v>
      </c>
      <c r="G2" s="14"/>
      <c r="H2" s="14"/>
    </row>
    <row r="3" spans="2:8" ht="11.25">
      <c r="B3" s="15"/>
      <c r="C3" s="15"/>
      <c r="D3" s="15"/>
      <c r="E3" s="15"/>
      <c r="F3" s="14" t="s">
        <v>1</v>
      </c>
      <c r="G3" s="15"/>
      <c r="H3" s="15"/>
    </row>
    <row r="4" spans="1:8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ht="11.25">
      <c r="A5" s="15"/>
      <c r="B5" s="15"/>
      <c r="C5" s="15"/>
      <c r="D5" s="15"/>
      <c r="E5" s="15"/>
      <c r="F5" s="15"/>
      <c r="G5" s="15"/>
      <c r="H5" s="15"/>
    </row>
    <row r="6" spans="1:8" ht="11.25">
      <c r="A6" s="15"/>
      <c r="B6" s="15"/>
      <c r="C6" s="15"/>
      <c r="D6" s="15"/>
      <c r="E6" s="15"/>
      <c r="F6" s="15"/>
      <c r="G6" s="15"/>
      <c r="H6" s="15"/>
    </row>
    <row r="7" spans="1:8" ht="11.25">
      <c r="A7" s="16"/>
      <c r="B7" s="16"/>
      <c r="C7" s="16"/>
      <c r="D7" s="16"/>
      <c r="E7" s="16"/>
      <c r="F7" s="16"/>
      <c r="G7" s="16"/>
      <c r="H7" s="16"/>
    </row>
    <row r="8" spans="1:8" ht="11.25">
      <c r="A8" s="3"/>
      <c r="B8" s="3"/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1:8" ht="11.25">
      <c r="A9" s="4" t="s">
        <v>9</v>
      </c>
      <c r="B9" s="4"/>
      <c r="C9" s="5"/>
      <c r="D9" s="5"/>
      <c r="E9" s="5"/>
      <c r="F9" s="5"/>
      <c r="G9" s="5"/>
      <c r="H9" s="5"/>
    </row>
    <row r="10" spans="1:8" ht="11.25">
      <c r="A10" s="6" t="s">
        <v>10</v>
      </c>
      <c r="B10" s="6"/>
      <c r="C10" s="7">
        <v>479504</v>
      </c>
      <c r="D10" s="7">
        <v>545201</v>
      </c>
      <c r="E10" s="7">
        <v>515813</v>
      </c>
      <c r="F10" s="7">
        <v>427803</v>
      </c>
      <c r="G10" s="7">
        <v>479885</v>
      </c>
      <c r="H10" s="7">
        <v>442390</v>
      </c>
    </row>
    <row r="11" spans="1:8" ht="11.25">
      <c r="A11" s="6" t="s">
        <v>11</v>
      </c>
      <c r="B11" s="6"/>
      <c r="C11" s="7">
        <v>219807</v>
      </c>
      <c r="D11" s="7">
        <v>202323</v>
      </c>
      <c r="E11" s="7">
        <v>192008</v>
      </c>
      <c r="F11" s="7">
        <v>133980</v>
      </c>
      <c r="G11" s="7">
        <v>214473</v>
      </c>
      <c r="H11" s="7">
        <v>255526</v>
      </c>
    </row>
    <row r="12" spans="1:8" ht="11.25">
      <c r="A12" s="6" t="s">
        <v>12</v>
      </c>
      <c r="B12" s="6"/>
      <c r="C12" s="7">
        <f aca="true" t="shared" si="0" ref="C12:H12">C13+C14</f>
        <v>225724</v>
      </c>
      <c r="D12" s="7">
        <f t="shared" si="0"/>
        <v>307136</v>
      </c>
      <c r="E12" s="7">
        <f t="shared" si="0"/>
        <v>289049</v>
      </c>
      <c r="F12" s="7">
        <f t="shared" si="0"/>
        <v>251863</v>
      </c>
      <c r="G12" s="7">
        <f t="shared" si="0"/>
        <v>229654</v>
      </c>
      <c r="H12" s="7">
        <f t="shared" si="0"/>
        <v>177331</v>
      </c>
    </row>
    <row r="13" spans="1:8" ht="11.25">
      <c r="A13" s="6"/>
      <c r="B13" s="6" t="s">
        <v>13</v>
      </c>
      <c r="C13" s="7">
        <v>225719</v>
      </c>
      <c r="D13" s="7">
        <v>306960</v>
      </c>
      <c r="E13" s="7">
        <v>289046</v>
      </c>
      <c r="F13" s="7">
        <v>251862</v>
      </c>
      <c r="G13" s="7">
        <v>229654</v>
      </c>
      <c r="H13" s="7">
        <v>177313</v>
      </c>
    </row>
    <row r="14" spans="1:8" ht="11.25">
      <c r="A14" s="6"/>
      <c r="B14" s="6" t="s">
        <v>14</v>
      </c>
      <c r="C14" s="7">
        <v>5</v>
      </c>
      <c r="D14" s="7">
        <v>176</v>
      </c>
      <c r="E14" s="7">
        <v>3</v>
      </c>
      <c r="F14" s="7">
        <v>1</v>
      </c>
      <c r="G14" s="7">
        <v>0</v>
      </c>
      <c r="H14" s="7">
        <v>18</v>
      </c>
    </row>
    <row r="15" spans="1:8" ht="11.25">
      <c r="A15" s="6" t="s">
        <v>15</v>
      </c>
      <c r="B15" s="6"/>
      <c r="C15" s="7">
        <v>19797</v>
      </c>
      <c r="D15" s="7">
        <v>24990</v>
      </c>
      <c r="E15" s="7">
        <v>24990</v>
      </c>
      <c r="F15" s="7">
        <v>25214</v>
      </c>
      <c r="G15" s="7">
        <v>12927</v>
      </c>
      <c r="H15" s="7">
        <v>1499</v>
      </c>
    </row>
    <row r="16" spans="1:8" ht="11.25">
      <c r="A16" s="6" t="s">
        <v>16</v>
      </c>
      <c r="B16" s="6"/>
      <c r="C16" s="7">
        <f aca="true" t="shared" si="1" ref="C16:H16">C17+C21</f>
        <v>446755</v>
      </c>
      <c r="D16" s="7">
        <f t="shared" si="1"/>
        <v>511627</v>
      </c>
      <c r="E16" s="7">
        <f t="shared" si="1"/>
        <v>481780</v>
      </c>
      <c r="F16" s="7">
        <f t="shared" si="1"/>
        <v>374991</v>
      </c>
      <c r="G16" s="7">
        <f t="shared" si="1"/>
        <v>428245</v>
      </c>
      <c r="H16" s="7">
        <f t="shared" si="1"/>
        <v>406213</v>
      </c>
    </row>
    <row r="17" spans="1:8" ht="11.25">
      <c r="A17" s="6"/>
      <c r="B17" s="6" t="s">
        <v>13</v>
      </c>
      <c r="C17" s="7">
        <f aca="true" t="shared" si="2" ref="C17:H17">SUM(C18:C20)</f>
        <v>268088</v>
      </c>
      <c r="D17" s="7">
        <f t="shared" si="2"/>
        <v>254577</v>
      </c>
      <c r="E17" s="7">
        <f t="shared" si="2"/>
        <v>187931</v>
      </c>
      <c r="F17" s="7">
        <f t="shared" si="2"/>
        <v>159421</v>
      </c>
      <c r="G17" s="7">
        <f t="shared" si="2"/>
        <v>155554</v>
      </c>
      <c r="H17" s="7">
        <f t="shared" si="2"/>
        <v>247657</v>
      </c>
    </row>
    <row r="18" spans="1:8" ht="11.25">
      <c r="A18" s="6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1.25">
      <c r="A19" s="6"/>
      <c r="B19" s="6" t="s">
        <v>18</v>
      </c>
      <c r="C19" s="7">
        <v>232295</v>
      </c>
      <c r="D19" s="7">
        <v>226845</v>
      </c>
      <c r="E19" s="7">
        <v>143442</v>
      </c>
      <c r="F19" s="7">
        <v>133474</v>
      </c>
      <c r="G19" s="7">
        <v>122479</v>
      </c>
      <c r="H19" s="7">
        <v>109670</v>
      </c>
    </row>
    <row r="20" spans="1:8" ht="11.25">
      <c r="A20" s="6"/>
      <c r="B20" s="6" t="s">
        <v>19</v>
      </c>
      <c r="C20" s="7">
        <v>35793</v>
      </c>
      <c r="D20" s="7">
        <v>27732</v>
      </c>
      <c r="E20" s="7">
        <v>44489</v>
      </c>
      <c r="F20" s="7">
        <v>25947</v>
      </c>
      <c r="G20" s="7">
        <v>33075</v>
      </c>
      <c r="H20" s="7">
        <v>137987</v>
      </c>
    </row>
    <row r="21" spans="1:8" ht="11.25">
      <c r="A21" s="6"/>
      <c r="B21" s="6" t="s">
        <v>14</v>
      </c>
      <c r="C21" s="7">
        <f aca="true" t="shared" si="3" ref="C21:H21">SUM(C22:C23)</f>
        <v>178667</v>
      </c>
      <c r="D21" s="7">
        <f t="shared" si="3"/>
        <v>257050</v>
      </c>
      <c r="E21" s="7">
        <f t="shared" si="3"/>
        <v>293849</v>
      </c>
      <c r="F21" s="7">
        <f t="shared" si="3"/>
        <v>215570</v>
      </c>
      <c r="G21" s="7">
        <f t="shared" si="3"/>
        <v>272691</v>
      </c>
      <c r="H21" s="7">
        <f t="shared" si="3"/>
        <v>158556</v>
      </c>
    </row>
    <row r="22" spans="1:8" ht="11.25">
      <c r="A22" s="6"/>
      <c r="B22" s="6" t="s">
        <v>18</v>
      </c>
      <c r="C22" s="7">
        <v>30727</v>
      </c>
      <c r="D22" s="7">
        <v>23936</v>
      </c>
      <c r="E22" s="7">
        <v>23640</v>
      </c>
      <c r="F22" s="7">
        <v>7314</v>
      </c>
      <c r="G22" s="7">
        <v>27666</v>
      </c>
      <c r="H22" s="7">
        <v>9325</v>
      </c>
    </row>
    <row r="23" spans="1:8" ht="11.25">
      <c r="A23" s="6"/>
      <c r="B23" s="6" t="s">
        <v>19</v>
      </c>
      <c r="C23" s="7">
        <v>147940</v>
      </c>
      <c r="D23" s="7">
        <v>233114</v>
      </c>
      <c r="E23" s="7">
        <v>270209</v>
      </c>
      <c r="F23" s="7">
        <v>208256</v>
      </c>
      <c r="G23" s="7">
        <v>245025</v>
      </c>
      <c r="H23" s="7">
        <v>149231</v>
      </c>
    </row>
    <row r="24" spans="1:8" ht="11.25">
      <c r="A24" s="2" t="s">
        <v>20</v>
      </c>
      <c r="B24" s="2"/>
      <c r="C24" s="8">
        <v>17329</v>
      </c>
      <c r="D24" s="8">
        <v>17001</v>
      </c>
      <c r="E24" s="8">
        <v>15814</v>
      </c>
      <c r="F24" s="8">
        <v>14578</v>
      </c>
      <c r="G24" s="8">
        <v>13181</v>
      </c>
      <c r="H24" s="8">
        <v>18471</v>
      </c>
    </row>
    <row r="25" spans="1:8" ht="11.25">
      <c r="A25" s="4" t="s">
        <v>21</v>
      </c>
      <c r="B25" s="6"/>
      <c r="C25" s="7"/>
      <c r="D25" s="7"/>
      <c r="E25" s="7"/>
      <c r="F25" s="7"/>
      <c r="G25" s="7"/>
      <c r="H25" s="7"/>
    </row>
    <row r="26" spans="1:8" ht="11.25">
      <c r="A26" s="6" t="s">
        <v>10</v>
      </c>
      <c r="B26" s="6"/>
      <c r="C26" s="7">
        <f>(479504+479885)/2</f>
        <v>479694.5</v>
      </c>
      <c r="D26" s="7">
        <f>(D10+455823)/2</f>
        <v>500512</v>
      </c>
      <c r="E26" s="7">
        <f>(E10+382140)/2</f>
        <v>448976.5</v>
      </c>
      <c r="F26" s="7">
        <f>(F10+414742)/2</f>
        <v>421272.5</v>
      </c>
      <c r="G26" s="7">
        <f>(G10+H10)/2</f>
        <v>461137.5</v>
      </c>
      <c r="H26" s="7">
        <f>(H10+430971)/2</f>
        <v>436680.5</v>
      </c>
    </row>
    <row r="27" spans="1:8" ht="11.25">
      <c r="A27" s="6" t="s">
        <v>22</v>
      </c>
      <c r="B27" s="6"/>
      <c r="C27" s="7">
        <f aca="true" t="shared" si="4" ref="C27:H27">C28+C29</f>
        <v>244051</v>
      </c>
      <c r="D27" s="7">
        <f t="shared" si="4"/>
        <v>291239</v>
      </c>
      <c r="E27" s="7">
        <f t="shared" si="4"/>
        <v>262164</v>
      </c>
      <c r="F27" s="7">
        <f t="shared" si="4"/>
        <v>243646.5</v>
      </c>
      <c r="G27" s="7">
        <f t="shared" si="4"/>
        <v>210705.5</v>
      </c>
      <c r="H27" s="7">
        <f t="shared" si="4"/>
        <v>181412.5</v>
      </c>
    </row>
    <row r="28" spans="1:8" ht="11.25">
      <c r="A28" s="6"/>
      <c r="B28" s="6" t="s">
        <v>12</v>
      </c>
      <c r="C28" s="7">
        <f>(C12+G12)/2</f>
        <v>227689</v>
      </c>
      <c r="D28" s="7">
        <f>(D12+225576)/2</f>
        <v>266356</v>
      </c>
      <c r="E28" s="7">
        <f>(E12+185317)/2</f>
        <v>237183</v>
      </c>
      <c r="F28" s="7">
        <f>(F12+184252)/2</f>
        <v>218057.5</v>
      </c>
      <c r="G28" s="7">
        <f>(G12+H12)/2</f>
        <v>203492.5</v>
      </c>
      <c r="H28" s="7">
        <f>(H12+162141)/2</f>
        <v>169736</v>
      </c>
    </row>
    <row r="29" spans="1:8" ht="11.25">
      <c r="A29" s="6"/>
      <c r="B29" s="6" t="s">
        <v>15</v>
      </c>
      <c r="C29" s="7">
        <f>(C15+G15)/2</f>
        <v>16362</v>
      </c>
      <c r="D29" s="7">
        <f>(D15+24776)/2</f>
        <v>24883</v>
      </c>
      <c r="E29" s="7">
        <f>(E15+24972)/2</f>
        <v>24981</v>
      </c>
      <c r="F29" s="7">
        <f>(F15+25964)/2</f>
        <v>25589</v>
      </c>
      <c r="G29" s="7">
        <f>(G15+H15)/2</f>
        <v>7213</v>
      </c>
      <c r="H29" s="7">
        <f>(H15+21854)/2</f>
        <v>11676.5</v>
      </c>
    </row>
    <row r="30" spans="1:8" ht="11.25">
      <c r="A30" s="2" t="s">
        <v>20</v>
      </c>
      <c r="B30" s="2"/>
      <c r="C30" s="8">
        <f>(C24+G24)/2</f>
        <v>15255</v>
      </c>
      <c r="D30" s="8">
        <f>(D24+12673)/2</f>
        <v>14837</v>
      </c>
      <c r="E30" s="8">
        <f>(E24+12080)/2</f>
        <v>13947</v>
      </c>
      <c r="F30" s="8">
        <f>(F24+19527)/2</f>
        <v>17052.5</v>
      </c>
      <c r="G30" s="8">
        <f>(G24+H24)/2</f>
        <v>15826</v>
      </c>
      <c r="H30" s="8">
        <f>(H24+9061)/2</f>
        <v>13766</v>
      </c>
    </row>
    <row r="31" spans="1:8" ht="11.25">
      <c r="A31" s="4" t="s">
        <v>23</v>
      </c>
      <c r="B31" s="6"/>
      <c r="C31" s="6"/>
      <c r="D31" s="6"/>
      <c r="E31" s="6"/>
      <c r="F31" s="6"/>
      <c r="G31" s="6"/>
      <c r="H31" s="6"/>
    </row>
    <row r="32" spans="1:8" ht="11.25">
      <c r="A32" s="6" t="s">
        <v>24</v>
      </c>
      <c r="B32" s="6"/>
      <c r="C32" s="7">
        <f>10710+D32</f>
        <v>41162</v>
      </c>
      <c r="D32" s="7">
        <f>11845+E32</f>
        <v>30452</v>
      </c>
      <c r="E32" s="7">
        <f>9846+F32</f>
        <v>18607</v>
      </c>
      <c r="F32" s="7">
        <v>8761</v>
      </c>
      <c r="G32" s="7">
        <v>31702</v>
      </c>
      <c r="H32" s="7">
        <v>27035</v>
      </c>
    </row>
    <row r="33" spans="1:8" ht="11.25">
      <c r="A33" s="6" t="s">
        <v>25</v>
      </c>
      <c r="B33" s="6"/>
      <c r="C33" s="7">
        <f>8336+D33</f>
        <v>30625</v>
      </c>
      <c r="D33" s="7">
        <f>8863+E33</f>
        <v>22289</v>
      </c>
      <c r="E33" s="7">
        <f>7136+F33</f>
        <v>13426</v>
      </c>
      <c r="F33" s="7">
        <v>6290</v>
      </c>
      <c r="G33" s="7">
        <v>22568</v>
      </c>
      <c r="H33" s="7">
        <v>18419</v>
      </c>
    </row>
    <row r="34" spans="1:8" ht="11.25">
      <c r="A34" s="6" t="s">
        <v>26</v>
      </c>
      <c r="B34" s="6"/>
      <c r="C34" s="7">
        <f aca="true" t="shared" si="5" ref="C34:H34">C32-C33</f>
        <v>10537</v>
      </c>
      <c r="D34" s="7">
        <f t="shared" si="5"/>
        <v>8163</v>
      </c>
      <c r="E34" s="7">
        <f t="shared" si="5"/>
        <v>5181</v>
      </c>
      <c r="F34" s="7">
        <f t="shared" si="5"/>
        <v>2471</v>
      </c>
      <c r="G34" s="7">
        <f t="shared" si="5"/>
        <v>9134</v>
      </c>
      <c r="H34" s="7">
        <f t="shared" si="5"/>
        <v>8616</v>
      </c>
    </row>
    <row r="35" spans="1:8" ht="11.25">
      <c r="A35" s="6" t="s">
        <v>27</v>
      </c>
      <c r="B35" s="6"/>
      <c r="C35" s="7">
        <f>1232+D35</f>
        <v>4769</v>
      </c>
      <c r="D35" s="7">
        <f>961+E35</f>
        <v>3537</v>
      </c>
      <c r="E35" s="7">
        <f>1144+F35</f>
        <v>2576</v>
      </c>
      <c r="F35" s="7">
        <v>1432</v>
      </c>
      <c r="G35" s="7">
        <v>4364</v>
      </c>
      <c r="H35" s="7">
        <v>3624</v>
      </c>
    </row>
    <row r="36" spans="1:8" ht="11.25">
      <c r="A36" s="6" t="s">
        <v>28</v>
      </c>
      <c r="B36" s="6"/>
      <c r="C36" s="7">
        <f aca="true" t="shared" si="6" ref="C36:H36">C34+C35</f>
        <v>15306</v>
      </c>
      <c r="D36" s="7">
        <f t="shared" si="6"/>
        <v>11700</v>
      </c>
      <c r="E36" s="7">
        <f t="shared" si="6"/>
        <v>7757</v>
      </c>
      <c r="F36" s="7">
        <f t="shared" si="6"/>
        <v>3903</v>
      </c>
      <c r="G36" s="7">
        <f t="shared" si="6"/>
        <v>13498</v>
      </c>
      <c r="H36" s="7">
        <f t="shared" si="6"/>
        <v>12240</v>
      </c>
    </row>
    <row r="37" spans="1:8" ht="11.25">
      <c r="A37" s="6" t="s">
        <v>29</v>
      </c>
      <c r="B37" s="6"/>
      <c r="C37" s="7">
        <f>3279+D37</f>
        <v>11053</v>
      </c>
      <c r="D37" s="7">
        <f>2649+E37</f>
        <v>7774</v>
      </c>
      <c r="E37" s="7">
        <f>2619+F37</f>
        <v>5125</v>
      </c>
      <c r="F37" s="7">
        <v>2506</v>
      </c>
      <c r="G37" s="7">
        <v>10314</v>
      </c>
      <c r="H37" s="7">
        <v>8712</v>
      </c>
    </row>
    <row r="38" spans="1:8" ht="11.25">
      <c r="A38" s="6" t="s">
        <v>30</v>
      </c>
      <c r="B38" s="6"/>
      <c r="C38" s="7">
        <f aca="true" t="shared" si="7" ref="C38:H38">C36-C37</f>
        <v>4253</v>
      </c>
      <c r="D38" s="7">
        <f t="shared" si="7"/>
        <v>3926</v>
      </c>
      <c r="E38" s="7">
        <f t="shared" si="7"/>
        <v>2632</v>
      </c>
      <c r="F38" s="7">
        <f t="shared" si="7"/>
        <v>1397</v>
      </c>
      <c r="G38" s="7">
        <f t="shared" si="7"/>
        <v>3184</v>
      </c>
      <c r="H38" s="7">
        <f t="shared" si="7"/>
        <v>3528</v>
      </c>
    </row>
    <row r="39" spans="1:8" ht="11.25">
      <c r="A39" s="2" t="s">
        <v>31</v>
      </c>
      <c r="B39" s="2"/>
      <c r="C39" s="8">
        <f>327+D39</f>
        <v>4145</v>
      </c>
      <c r="D39" s="8">
        <f>1186+E39</f>
        <v>3818</v>
      </c>
      <c r="E39" s="8">
        <f>1235+F39</f>
        <v>2632</v>
      </c>
      <c r="F39" s="8">
        <v>1397</v>
      </c>
      <c r="G39" s="8">
        <v>3182</v>
      </c>
      <c r="H39" s="8">
        <v>3410</v>
      </c>
    </row>
    <row r="40" spans="1:8" ht="11.25">
      <c r="A40" s="4" t="s">
        <v>32</v>
      </c>
      <c r="B40" s="6"/>
      <c r="C40" s="7"/>
      <c r="D40" s="7"/>
      <c r="E40" s="7"/>
      <c r="F40" s="7"/>
      <c r="G40" s="7"/>
      <c r="H40" s="7"/>
    </row>
    <row r="41" spans="1:8" ht="11.25">
      <c r="A41" s="6" t="s">
        <v>33</v>
      </c>
      <c r="B41" s="6"/>
      <c r="C41" s="7">
        <v>2094</v>
      </c>
      <c r="D41" s="7">
        <v>7935</v>
      </c>
      <c r="E41" s="7">
        <v>8722</v>
      </c>
      <c r="F41" s="7">
        <v>7893</v>
      </c>
      <c r="G41" s="7">
        <v>19467</v>
      </c>
      <c r="H41" s="7">
        <v>4490</v>
      </c>
    </row>
    <row r="42" spans="1:8" ht="11.25">
      <c r="A42" s="6" t="s">
        <v>34</v>
      </c>
      <c r="B42" s="6"/>
      <c r="C42" s="7">
        <v>659</v>
      </c>
      <c r="D42" s="7">
        <v>12289</v>
      </c>
      <c r="E42" s="7">
        <v>10782</v>
      </c>
      <c r="F42" s="7">
        <v>8625</v>
      </c>
      <c r="G42" s="7">
        <v>8003</v>
      </c>
      <c r="H42" s="7">
        <v>3029</v>
      </c>
    </row>
    <row r="43" spans="1:8" ht="11.25">
      <c r="A43" s="6" t="s">
        <v>35</v>
      </c>
      <c r="B43" s="6"/>
      <c r="C43" s="9">
        <f aca="true" t="shared" si="8" ref="C43:H43">C41/C12</f>
        <v>0.009276815934504084</v>
      </c>
      <c r="D43" s="9">
        <f t="shared" si="8"/>
        <v>0.02583546051260679</v>
      </c>
      <c r="E43" s="9">
        <f t="shared" si="8"/>
        <v>0.030174814650803152</v>
      </c>
      <c r="F43" s="9">
        <f t="shared" si="8"/>
        <v>0.031338465753207104</v>
      </c>
      <c r="G43" s="9">
        <f t="shared" si="8"/>
        <v>0.08476664895886855</v>
      </c>
      <c r="H43" s="9">
        <f t="shared" si="8"/>
        <v>0.025319882028522932</v>
      </c>
    </row>
    <row r="44" spans="1:8" ht="11.25">
      <c r="A44" s="6" t="s">
        <v>36</v>
      </c>
      <c r="B44" s="6"/>
      <c r="C44" s="9">
        <f aca="true" t="shared" si="9" ref="C44:H44">(C42)/C12</f>
        <v>0.0029194946040297</v>
      </c>
      <c r="D44" s="9">
        <f t="shared" si="9"/>
        <v>0.04001159095644926</v>
      </c>
      <c r="E44" s="9">
        <f t="shared" si="9"/>
        <v>0.03730163397901394</v>
      </c>
      <c r="F44" s="9">
        <f t="shared" si="9"/>
        <v>0.034244807693071234</v>
      </c>
      <c r="G44" s="9">
        <f t="shared" si="9"/>
        <v>0.034848075800987574</v>
      </c>
      <c r="H44" s="9">
        <f t="shared" si="9"/>
        <v>0.017081051818350994</v>
      </c>
    </row>
    <row r="45" spans="1:8" ht="11.25">
      <c r="A45" s="10" t="s">
        <v>37</v>
      </c>
      <c r="B45" s="6"/>
      <c r="C45" s="9">
        <f aca="true" t="shared" si="10" ref="C45:H45">(C41+C42)/C12</f>
        <v>0.012196310538533785</v>
      </c>
      <c r="D45" s="9">
        <f t="shared" si="10"/>
        <v>0.06584705146905605</v>
      </c>
      <c r="E45" s="9">
        <f t="shared" si="10"/>
        <v>0.0674764486298171</v>
      </c>
      <c r="F45" s="9">
        <f t="shared" si="10"/>
        <v>0.06558327344627833</v>
      </c>
      <c r="G45" s="9">
        <f t="shared" si="10"/>
        <v>0.11961472475985613</v>
      </c>
      <c r="H45" s="9">
        <f t="shared" si="10"/>
        <v>0.04240093384687393</v>
      </c>
    </row>
    <row r="46" spans="1:8" ht="11.25">
      <c r="A46" s="6" t="s">
        <v>38</v>
      </c>
      <c r="B46" s="6"/>
      <c r="C46" s="9">
        <v>0</v>
      </c>
      <c r="D46" s="9">
        <v>0.009</v>
      </c>
      <c r="E46" s="9">
        <v>0.0088</v>
      </c>
      <c r="F46" s="9">
        <v>0.0101</v>
      </c>
      <c r="G46" s="9">
        <v>0.0128</v>
      </c>
      <c r="H46" s="9">
        <f>(1595/H12)</f>
        <v>0.008994479250666832</v>
      </c>
    </row>
    <row r="47" spans="1:8" ht="11.25">
      <c r="A47" s="2" t="s">
        <v>39</v>
      </c>
      <c r="B47" s="2"/>
      <c r="C47" s="11">
        <v>0.0006</v>
      </c>
      <c r="D47" s="11">
        <v>0.137</v>
      </c>
      <c r="E47" s="11">
        <v>0.1311</v>
      </c>
      <c r="F47" s="11">
        <v>0.1541</v>
      </c>
      <c r="G47" s="11">
        <v>0.1073</v>
      </c>
      <c r="H47" s="11">
        <f>1595/(H41+H42)</f>
        <v>0.21212927250964225</v>
      </c>
    </row>
    <row r="48" spans="1:8" ht="11.25">
      <c r="A48" s="4" t="s">
        <v>40</v>
      </c>
      <c r="B48" s="6"/>
      <c r="C48" s="6"/>
      <c r="D48" s="6"/>
      <c r="E48" s="6"/>
      <c r="F48" s="6"/>
      <c r="G48" s="6"/>
      <c r="H48" s="6"/>
    </row>
    <row r="49" spans="1:8" ht="11.25">
      <c r="A49" s="6" t="s">
        <v>41</v>
      </c>
      <c r="B49" s="6"/>
      <c r="C49" s="9">
        <f aca="true" t="shared" si="11" ref="C49:H49">C24/(C12+C15)</f>
        <v>0.07058052060719856</v>
      </c>
      <c r="D49" s="9">
        <f t="shared" si="11"/>
        <v>0.051188404400739476</v>
      </c>
      <c r="E49" s="9">
        <f t="shared" si="11"/>
        <v>0.050356802817484454</v>
      </c>
      <c r="F49" s="9">
        <f t="shared" si="11"/>
        <v>0.05261353342211732</v>
      </c>
      <c r="G49" s="9">
        <f t="shared" si="11"/>
        <v>0.054336489667368836</v>
      </c>
      <c r="H49" s="9">
        <f t="shared" si="11"/>
        <v>0.10328803891964436</v>
      </c>
    </row>
    <row r="50" spans="1:8" ht="11.25">
      <c r="A50" s="2" t="s">
        <v>42</v>
      </c>
      <c r="B50" s="2"/>
      <c r="C50" s="11">
        <f aca="true" t="shared" si="12" ref="C50:H50">C24/C10</f>
        <v>0.036139427408321934</v>
      </c>
      <c r="D50" s="11">
        <f t="shared" si="12"/>
        <v>0.031182994895460572</v>
      </c>
      <c r="E50" s="11">
        <f t="shared" si="12"/>
        <v>0.030658397520031484</v>
      </c>
      <c r="F50" s="11">
        <f t="shared" si="12"/>
        <v>0.03407643237658455</v>
      </c>
      <c r="G50" s="11">
        <f t="shared" si="12"/>
        <v>0.027466997301436803</v>
      </c>
      <c r="H50" s="11">
        <f t="shared" si="12"/>
        <v>0.04175275209656638</v>
      </c>
    </row>
    <row r="51" spans="1:8" ht="11.25">
      <c r="A51" s="4" t="s">
        <v>43</v>
      </c>
      <c r="B51" s="6"/>
      <c r="C51" s="12"/>
      <c r="D51" s="12"/>
      <c r="E51" s="12"/>
      <c r="F51" s="12"/>
      <c r="G51" s="12"/>
      <c r="H51" s="12"/>
    </row>
    <row r="52" spans="1:8" ht="11.25">
      <c r="A52" s="6" t="s">
        <v>44</v>
      </c>
      <c r="B52" s="6"/>
      <c r="C52" s="12">
        <f aca="true" t="shared" si="13" ref="C52:H52">C11/C16</f>
        <v>0.49200792380611297</v>
      </c>
      <c r="D52" s="12">
        <f t="shared" si="13"/>
        <v>0.3954502010253564</v>
      </c>
      <c r="E52" s="12">
        <f t="shared" si="13"/>
        <v>0.3985387521275271</v>
      </c>
      <c r="F52" s="12">
        <f t="shared" si="13"/>
        <v>0.35728857492579824</v>
      </c>
      <c r="G52" s="12">
        <f t="shared" si="13"/>
        <v>0.5008184567245385</v>
      </c>
      <c r="H52" s="12">
        <f t="shared" si="13"/>
        <v>0.629044368348625</v>
      </c>
    </row>
    <row r="53" spans="1:8" ht="11.25">
      <c r="A53" s="6" t="s">
        <v>45</v>
      </c>
      <c r="B53" s="6"/>
      <c r="C53" s="12">
        <f aca="true" t="shared" si="14" ref="C53:H53">C11/C10</f>
        <v>0.45840493509960295</v>
      </c>
      <c r="D53" s="12">
        <f t="shared" si="14"/>
        <v>0.3710979987197382</v>
      </c>
      <c r="E53" s="12">
        <f t="shared" si="14"/>
        <v>0.3722434293048062</v>
      </c>
      <c r="F53" s="12">
        <f t="shared" si="14"/>
        <v>0.313181534491343</v>
      </c>
      <c r="G53" s="12">
        <f t="shared" si="14"/>
        <v>0.4469258259791408</v>
      </c>
      <c r="H53" s="12">
        <f t="shared" si="14"/>
        <v>0.5776034720495491</v>
      </c>
    </row>
    <row r="54" spans="1:8" ht="11.25">
      <c r="A54" s="2" t="s">
        <v>46</v>
      </c>
      <c r="B54" s="2"/>
      <c r="C54" s="13">
        <f aca="true" t="shared" si="15" ref="C54:H54">(C11+C15)/C16</f>
        <v>0.5363208022294098</v>
      </c>
      <c r="D54" s="13">
        <f t="shared" si="15"/>
        <v>0.44429437852185283</v>
      </c>
      <c r="E54" s="13">
        <f t="shared" si="15"/>
        <v>0.4504089003279505</v>
      </c>
      <c r="F54" s="13">
        <f t="shared" si="15"/>
        <v>0.4245275219938612</v>
      </c>
      <c r="G54" s="13">
        <f t="shared" si="15"/>
        <v>0.531004448388189</v>
      </c>
      <c r="H54" s="13">
        <f t="shared" si="15"/>
        <v>0.6327345505929155</v>
      </c>
    </row>
    <row r="55" spans="1:8" ht="11.25">
      <c r="A55" s="4" t="s">
        <v>47</v>
      </c>
      <c r="B55" s="6"/>
      <c r="C55" s="6"/>
      <c r="D55" s="6"/>
      <c r="E55" s="6"/>
      <c r="F55" s="6"/>
      <c r="G55" s="6"/>
      <c r="H55" s="6"/>
    </row>
    <row r="56" spans="1:8" ht="11.25">
      <c r="A56" s="6" t="s">
        <v>48</v>
      </c>
      <c r="B56" s="6"/>
      <c r="C56" s="9">
        <f>C39/C27</f>
        <v>0.016984154951219212</v>
      </c>
      <c r="D56" s="9">
        <f>(D39/0.75)/D27</f>
        <v>0.017479343998113808</v>
      </c>
      <c r="E56" s="9">
        <f>(E39/0.5)/E27</f>
        <v>0.02007903449749012</v>
      </c>
      <c r="F56" s="9">
        <f>((F39)/0.25)/F27</f>
        <v>0.022934866702374136</v>
      </c>
      <c r="G56" s="9">
        <f>G39/G27</f>
        <v>0.015101646611028188</v>
      </c>
      <c r="H56" s="9">
        <f>H39/H27</f>
        <v>0.01879694067387859</v>
      </c>
    </row>
    <row r="57" spans="1:8" ht="11.25">
      <c r="A57" s="6" t="s">
        <v>49</v>
      </c>
      <c r="B57" s="6"/>
      <c r="C57" s="9">
        <f>C39/C26</f>
        <v>0.0086409162498215</v>
      </c>
      <c r="D57" s="9">
        <f>(D39/0.75)/D26</f>
        <v>0.010170918312980842</v>
      </c>
      <c r="E57" s="9">
        <f>(E39/0.5)/E26</f>
        <v>0.011724444375151038</v>
      </c>
      <c r="F57" s="9">
        <f>((F39)/0.25)/F26</f>
        <v>0.013264573405574777</v>
      </c>
      <c r="G57" s="9">
        <f>G39/G26</f>
        <v>0.006900327993277493</v>
      </c>
      <c r="H57" s="9">
        <f>H39/H26</f>
        <v>0.007808912923750889</v>
      </c>
    </row>
    <row r="58" spans="1:8" ht="11.25">
      <c r="A58" s="6" t="s">
        <v>50</v>
      </c>
      <c r="B58" s="6"/>
      <c r="C58" s="9">
        <f>C39/C30</f>
        <v>0.2717141920681744</v>
      </c>
      <c r="D58" s="9">
        <f>(D39/0.75)/D30</f>
        <v>0.3431061984677945</v>
      </c>
      <c r="E58" s="9">
        <f>(E39/0.5)/E30</f>
        <v>0.37742883774288377</v>
      </c>
      <c r="F58" s="9">
        <f>((F39)/0.25)/F30</f>
        <v>0.32769388652690223</v>
      </c>
      <c r="G58" s="9">
        <f>G39/G30</f>
        <v>0.20106154429419942</v>
      </c>
      <c r="H58" s="9">
        <f>H39/H30</f>
        <v>0.24771175359581576</v>
      </c>
    </row>
    <row r="59" spans="1:8" ht="11.25">
      <c r="A59" s="6" t="s">
        <v>51</v>
      </c>
      <c r="B59" s="6"/>
      <c r="C59" s="9">
        <f>C32/C26</f>
        <v>0.08580878038001269</v>
      </c>
      <c r="D59" s="9">
        <f>(D32/0.75)/D26</f>
        <v>0.08112226413485923</v>
      </c>
      <c r="E59" s="9">
        <f>(E32/0.5)/E26</f>
        <v>0.08288629805791617</v>
      </c>
      <c r="F59" s="9">
        <f>((F32)/0.25)/F26</f>
        <v>0.08318606127862607</v>
      </c>
      <c r="G59" s="9">
        <f>G32/G26</f>
        <v>0.0687473909625654</v>
      </c>
      <c r="H59" s="9">
        <f>H32/H26</f>
        <v>0.06191025246146782</v>
      </c>
    </row>
    <row r="60" spans="1:8" ht="11.25">
      <c r="A60" s="6" t="s">
        <v>52</v>
      </c>
      <c r="B60" s="6"/>
      <c r="C60" s="9">
        <f>C33/C26</f>
        <v>0.06384271656231205</v>
      </c>
      <c r="D60" s="9">
        <f>(D33/0.75)/D26</f>
        <v>0.05937653176480617</v>
      </c>
      <c r="E60" s="9">
        <f>(E33/0.5)/E26</f>
        <v>0.05980713912643535</v>
      </c>
      <c r="F60" s="9">
        <f>((F33)/0.25)/F26</f>
        <v>0.05972381297141399</v>
      </c>
      <c r="G60" s="9">
        <f>G33/G26</f>
        <v>0.0489398498278713</v>
      </c>
      <c r="H60" s="9">
        <f>H33/H26</f>
        <v>0.04217957980720458</v>
      </c>
    </row>
    <row r="61" spans="1:8" ht="11.25">
      <c r="A61" s="6" t="s">
        <v>53</v>
      </c>
      <c r="B61" s="6"/>
      <c r="C61" s="9">
        <f>C34/C26</f>
        <v>0.02196606381770064</v>
      </c>
      <c r="D61" s="9">
        <f>(D34)/0.75/D26</f>
        <v>0.021745732370053065</v>
      </c>
      <c r="E61" s="9">
        <f>(E34/0.5)/E26</f>
        <v>0.023079158931480822</v>
      </c>
      <c r="F61" s="9">
        <f>((F34)/0.25)/F26</f>
        <v>0.023462248307212077</v>
      </c>
      <c r="G61" s="9">
        <f>G34/G26</f>
        <v>0.019807541134694098</v>
      </c>
      <c r="H61" s="9">
        <f>H34/H26</f>
        <v>0.019730672654263242</v>
      </c>
    </row>
    <row r="62" spans="1:8" ht="11.25">
      <c r="A62" s="6" t="s">
        <v>54</v>
      </c>
      <c r="B62" s="6"/>
      <c r="C62" s="9">
        <f>C37/C36</f>
        <v>0.7221351104142166</v>
      </c>
      <c r="D62" s="9">
        <f>(D37/0.75)/(D36/0.75)</f>
        <v>0.6644444444444445</v>
      </c>
      <c r="E62" s="9">
        <f>(E37/0.5)/(E36/0.5)</f>
        <v>0.6606935671006833</v>
      </c>
      <c r="F62" s="9">
        <f>(F37/0.25)/(F36/0.25)</f>
        <v>0.6420702024084038</v>
      </c>
      <c r="G62" s="9">
        <f>G37/G36</f>
        <v>0.7641132019558453</v>
      </c>
      <c r="H62" s="9">
        <f>H37/H36</f>
        <v>0.711764705882353</v>
      </c>
    </row>
    <row r="63" spans="1:8" ht="11.25">
      <c r="A63" s="2" t="s">
        <v>55</v>
      </c>
      <c r="B63" s="2"/>
      <c r="C63" s="11">
        <f>C35/C26</f>
        <v>0.009941744172593182</v>
      </c>
      <c r="D63" s="11">
        <f>(D35/0.75)/D26</f>
        <v>0.009422351512051659</v>
      </c>
      <c r="E63" s="11">
        <f>(E35/0.5)/E26</f>
        <v>0.011474988111849951</v>
      </c>
      <c r="F63" s="11">
        <f>(F35/0.25)/F26</f>
        <v>0.013596899868849734</v>
      </c>
      <c r="G63" s="11">
        <f>G35/G26</f>
        <v>0.009463554796562848</v>
      </c>
      <c r="H63" s="11">
        <f>H35/H26</f>
        <v>0.008298973734801532</v>
      </c>
    </row>
    <row r="64" spans="1:8" ht="11.25">
      <c r="A64" s="4" t="s">
        <v>56</v>
      </c>
      <c r="B64" s="6"/>
      <c r="C64" s="6"/>
      <c r="D64" s="6"/>
      <c r="E64" s="6"/>
      <c r="F64" s="6"/>
      <c r="G64" s="6"/>
      <c r="H64" s="6"/>
    </row>
    <row r="65" spans="1:8" ht="11.25">
      <c r="A65" s="6" t="s">
        <v>57</v>
      </c>
      <c r="B65" s="6"/>
      <c r="C65" s="7">
        <v>155</v>
      </c>
      <c r="D65" s="7">
        <v>155</v>
      </c>
      <c r="E65" s="7">
        <v>156</v>
      </c>
      <c r="F65" s="7">
        <v>161</v>
      </c>
      <c r="G65" s="7">
        <v>152</v>
      </c>
      <c r="H65" s="7">
        <v>147</v>
      </c>
    </row>
    <row r="66" spans="1:8" ht="11.25">
      <c r="A66" s="6" t="s">
        <v>58</v>
      </c>
      <c r="B66" s="6"/>
      <c r="C66" s="7">
        <v>4</v>
      </c>
      <c r="D66" s="7">
        <v>4</v>
      </c>
      <c r="E66" s="7">
        <v>4</v>
      </c>
      <c r="F66" s="7">
        <v>4</v>
      </c>
      <c r="G66" s="7">
        <v>4</v>
      </c>
      <c r="H66" s="7">
        <v>4</v>
      </c>
    </row>
    <row r="67" spans="1:8" ht="11.25">
      <c r="A67" s="6" t="s">
        <v>59</v>
      </c>
      <c r="B67" s="6"/>
      <c r="C67" s="7">
        <f aca="true" t="shared" si="16" ref="C67:H67">C12/C65</f>
        <v>1456.283870967742</v>
      </c>
      <c r="D67" s="7">
        <f t="shared" si="16"/>
        <v>1981.5225806451613</v>
      </c>
      <c r="E67" s="7">
        <f t="shared" si="16"/>
        <v>1852.878205128205</v>
      </c>
      <c r="F67" s="7">
        <f t="shared" si="16"/>
        <v>1564.3664596273293</v>
      </c>
      <c r="G67" s="7">
        <f t="shared" si="16"/>
        <v>1510.8815789473683</v>
      </c>
      <c r="H67" s="7">
        <f t="shared" si="16"/>
        <v>1206.3333333333333</v>
      </c>
    </row>
    <row r="68" spans="1:8" ht="11.25">
      <c r="A68" s="6" t="s">
        <v>60</v>
      </c>
      <c r="B68" s="6"/>
      <c r="C68" s="7">
        <f aca="true" t="shared" si="17" ref="C68:H68">C16/C65</f>
        <v>2882.2903225806454</v>
      </c>
      <c r="D68" s="7">
        <f t="shared" si="17"/>
        <v>3300.81935483871</v>
      </c>
      <c r="E68" s="7">
        <f t="shared" si="17"/>
        <v>3088.3333333333335</v>
      </c>
      <c r="F68" s="7">
        <f t="shared" si="17"/>
        <v>2329.136645962733</v>
      </c>
      <c r="G68" s="7">
        <f t="shared" si="17"/>
        <v>2817.4013157894738</v>
      </c>
      <c r="H68" s="7">
        <f t="shared" si="17"/>
        <v>2763.3537414965986</v>
      </c>
    </row>
    <row r="69" spans="1:8" ht="11.25">
      <c r="A69" s="2" t="s">
        <v>61</v>
      </c>
      <c r="B69" s="2"/>
      <c r="C69" s="8">
        <f aca="true" t="shared" si="18" ref="C69:H69">(C39/C65)</f>
        <v>26.741935483870968</v>
      </c>
      <c r="D69" s="8">
        <f t="shared" si="18"/>
        <v>24.63225806451613</v>
      </c>
      <c r="E69" s="8">
        <f t="shared" si="18"/>
        <v>16.871794871794872</v>
      </c>
      <c r="F69" s="8">
        <f t="shared" si="18"/>
        <v>8.677018633540373</v>
      </c>
      <c r="G69" s="8">
        <f t="shared" si="18"/>
        <v>20.93421052631579</v>
      </c>
      <c r="H69" s="8">
        <f t="shared" si="18"/>
        <v>23.197278911564627</v>
      </c>
    </row>
    <row r="70" spans="1:8" ht="11.25">
      <c r="A70" s="4" t="s">
        <v>62</v>
      </c>
      <c r="B70" s="6"/>
      <c r="C70" s="6"/>
      <c r="D70" s="6"/>
      <c r="E70" s="6"/>
      <c r="F70" s="6"/>
      <c r="G70" s="6"/>
      <c r="H70" s="6"/>
    </row>
    <row r="71" spans="1:8" ht="11.25">
      <c r="A71" s="6" t="s">
        <v>63</v>
      </c>
      <c r="B71" s="6"/>
      <c r="C71" s="9">
        <f>(C10/G10)-1</f>
        <v>-0.0007939402148431363</v>
      </c>
      <c r="D71" s="9">
        <f>(D10/455823)-1</f>
        <v>0.19608049615749978</v>
      </c>
      <c r="E71" s="9">
        <f>(E10/382139)-1</f>
        <v>0.3498046522338729</v>
      </c>
      <c r="F71" s="9">
        <f>(F10/414742)-1</f>
        <v>0.03149186723312325</v>
      </c>
      <c r="G71" s="9">
        <f>(G10/H10)-1</f>
        <v>0.08475553244874434</v>
      </c>
      <c r="H71" s="9">
        <f>(H10/430971)-1</f>
        <v>0.026495982328277323</v>
      </c>
    </row>
    <row r="72" spans="1:8" ht="11.25">
      <c r="A72" s="6" t="s">
        <v>64</v>
      </c>
      <c r="B72" s="6"/>
      <c r="C72" s="9">
        <f>(C12/G12)-1</f>
        <v>-0.017112699974744627</v>
      </c>
      <c r="D72" s="9">
        <f>D12/225576-1</f>
        <v>0.36156328687449024</v>
      </c>
      <c r="E72" s="9">
        <f>E12/185317-1</f>
        <v>0.559754366841682</v>
      </c>
      <c r="F72" s="9">
        <f>F12/184252-1</f>
        <v>0.3669485270173458</v>
      </c>
      <c r="G72" s="9">
        <f>(G12/H12)-1</f>
        <v>0.29505839362548003</v>
      </c>
      <c r="H72" s="9">
        <f>H12/162141-1</f>
        <v>0.09368389241462682</v>
      </c>
    </row>
    <row r="73" spans="1:8" ht="11.25">
      <c r="A73" s="6"/>
      <c r="B73" s="6" t="s">
        <v>13</v>
      </c>
      <c r="C73" s="9">
        <f>(C13/G13)-1</f>
        <v>-0.017134471857664146</v>
      </c>
      <c r="D73" s="9">
        <f>(D13/225570)-1</f>
        <v>0.3608192578800373</v>
      </c>
      <c r="E73" s="9">
        <f>(E13/185317)-1</f>
        <v>0.55973817836464</v>
      </c>
      <c r="F73" s="9">
        <f>(F13/184252)-1</f>
        <v>0.3669430996678462</v>
      </c>
      <c r="G73" s="9">
        <f>(G13/H13)-1</f>
        <v>0.2951898619954543</v>
      </c>
      <c r="H73" s="9">
        <f>(H13/162141)-1</f>
        <v>0.09357287792723623</v>
      </c>
    </row>
    <row r="74" spans="1:8" ht="11.25">
      <c r="A74" s="6"/>
      <c r="B74" s="6" t="s">
        <v>14</v>
      </c>
      <c r="C74" s="9">
        <v>0</v>
      </c>
      <c r="D74" s="9">
        <v>0</v>
      </c>
      <c r="E74" s="9">
        <v>0</v>
      </c>
      <c r="F74" s="9">
        <v>0</v>
      </c>
      <c r="G74" s="9">
        <f>(G14/H14)-1</f>
        <v>-1</v>
      </c>
      <c r="H74" s="9">
        <v>0</v>
      </c>
    </row>
    <row r="75" spans="1:8" ht="11.25">
      <c r="A75" s="6" t="s">
        <v>65</v>
      </c>
      <c r="B75" s="6"/>
      <c r="C75" s="9">
        <f>(C16/G16)-1</f>
        <v>0.04322292145851092</v>
      </c>
      <c r="D75" s="9">
        <f>D16/424998-1</f>
        <v>0.2038339003948253</v>
      </c>
      <c r="E75" s="9">
        <f>E16/350513-1</f>
        <v>0.3744996619240941</v>
      </c>
      <c r="F75" s="9">
        <f>F16/370629-1</f>
        <v>0.01176918158050233</v>
      </c>
      <c r="G75" s="9">
        <f>(G16/H16)-1</f>
        <v>0.05423755517425577</v>
      </c>
      <c r="H75" s="9">
        <f>H16/410779-1</f>
        <v>-0.011115465980490735</v>
      </c>
    </row>
    <row r="76" spans="1:8" ht="11.25">
      <c r="A76" s="6"/>
      <c r="B76" s="6" t="s">
        <v>13</v>
      </c>
      <c r="C76" s="9">
        <f>(C17/G17)-1</f>
        <v>0.7234400915437726</v>
      </c>
      <c r="D76" s="9">
        <f>(D17/207098)-1</f>
        <v>0.22925861186491425</v>
      </c>
      <c r="E76" s="9">
        <f>(E17/221297)-1</f>
        <v>-0.15077475067443302</v>
      </c>
      <c r="F76" s="9">
        <f>(F17/192048)-1</f>
        <v>-0.16988981921186375</v>
      </c>
      <c r="G76" s="9">
        <f>(G17/H17)-1</f>
        <v>-0.37189742264502923</v>
      </c>
      <c r="H76" s="9">
        <f>(H17/169513)-1</f>
        <v>0.4609911924159209</v>
      </c>
    </row>
    <row r="77" spans="1:8" ht="11.25">
      <c r="A77" s="6"/>
      <c r="B77" s="6" t="s">
        <v>14</v>
      </c>
      <c r="C77" s="9">
        <f>(C21/G21)-1</f>
        <v>-0.34480052513650983</v>
      </c>
      <c r="D77" s="9">
        <f>(D21/217900)-1</f>
        <v>0.17966957319871502</v>
      </c>
      <c r="E77" s="9">
        <f>(E21/129216)-1</f>
        <v>1.2740914437840516</v>
      </c>
      <c r="F77" s="9">
        <f>(F21/178580)-1</f>
        <v>0.20713405756523695</v>
      </c>
      <c r="G77" s="9">
        <f>(G21/H21)-1</f>
        <v>0.7198403087868008</v>
      </c>
      <c r="H77" s="9">
        <f>(H21/241265)-1</f>
        <v>-0.3428139183055976</v>
      </c>
    </row>
    <row r="78" spans="1:8" ht="11.25">
      <c r="A78" s="6" t="s">
        <v>66</v>
      </c>
      <c r="B78" s="6"/>
      <c r="C78" s="9">
        <f>(C24/G24)-1</f>
        <v>0.31469539488657916</v>
      </c>
      <c r="D78" s="9">
        <f>(D24/12673)-1</f>
        <v>0.341513453799416</v>
      </c>
      <c r="E78" s="9">
        <f>(E24/12080)-1</f>
        <v>0.30910596026490067</v>
      </c>
      <c r="F78" s="9">
        <f>(F24/19527)-1</f>
        <v>-0.2534439494033902</v>
      </c>
      <c r="G78" s="9">
        <f>(G24/H24)-1</f>
        <v>-0.2863948892859076</v>
      </c>
      <c r="H78" s="9">
        <f>(H24/9061)-1</f>
        <v>1.038516720008829</v>
      </c>
    </row>
    <row r="79" spans="1:8" ht="11.25">
      <c r="A79" s="2" t="s">
        <v>67</v>
      </c>
      <c r="B79" s="2"/>
      <c r="C79" s="11">
        <f>(C39/G39)-1</f>
        <v>0.302639849151477</v>
      </c>
      <c r="D79" s="11">
        <f>(D39/2673)-1</f>
        <v>0.42835765057987274</v>
      </c>
      <c r="E79" s="11">
        <f>(E39/2080)-1</f>
        <v>0.26538461538461533</v>
      </c>
      <c r="F79" s="11">
        <f>(F39/1056)-1</f>
        <v>0.32291666666666674</v>
      </c>
      <c r="G79" s="11">
        <f>(G39/H39)-1</f>
        <v>-0.06686217008797657</v>
      </c>
      <c r="H79" s="11">
        <f>(H39/2377)-1</f>
        <v>0.4345814051325201</v>
      </c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  <row r="112" spans="1:8" ht="11.25">
      <c r="A112" s="6"/>
      <c r="B112" s="6"/>
      <c r="C112" s="6"/>
      <c r="D112" s="6"/>
      <c r="E112" s="6"/>
      <c r="F112" s="6"/>
      <c r="G112" s="6"/>
      <c r="H112" s="6"/>
    </row>
    <row r="113" spans="1:8" ht="11.25">
      <c r="A113" s="6"/>
      <c r="B113" s="6"/>
      <c r="C113" s="6"/>
      <c r="D113" s="6"/>
      <c r="E113" s="6"/>
      <c r="F113" s="6"/>
      <c r="G113" s="6"/>
      <c r="H113" s="6"/>
    </row>
    <row r="114" spans="1:8" ht="11.25">
      <c r="A114" s="6"/>
      <c r="B114" s="6"/>
      <c r="C114" s="6"/>
      <c r="D114" s="6"/>
      <c r="E114" s="6"/>
      <c r="F114" s="6"/>
      <c r="G114" s="6"/>
      <c r="H114" s="6"/>
    </row>
    <row r="115" spans="1:8" ht="11.25">
      <c r="A115" s="6"/>
      <c r="B115" s="6"/>
      <c r="C115" s="6"/>
      <c r="D115" s="6"/>
      <c r="E115" s="6"/>
      <c r="F115" s="6"/>
      <c r="G115" s="6"/>
      <c r="H115" s="6"/>
    </row>
    <row r="116" spans="1:8" ht="11.25">
      <c r="A116" s="6"/>
      <c r="B116" s="6"/>
      <c r="C116" s="6"/>
      <c r="D116" s="6"/>
      <c r="E116" s="6"/>
      <c r="F116" s="6"/>
      <c r="G116" s="6"/>
      <c r="H116" s="6"/>
    </row>
    <row r="117" spans="1:8" ht="11.25">
      <c r="A117" s="6"/>
      <c r="B117" s="6"/>
      <c r="C117" s="6"/>
      <c r="D117" s="6"/>
      <c r="E117" s="6"/>
      <c r="F117" s="6"/>
      <c r="G117" s="6"/>
      <c r="H117" s="6"/>
    </row>
    <row r="118" spans="1:8" ht="11.25">
      <c r="A118" s="6"/>
      <c r="B118" s="6"/>
      <c r="C118" s="6"/>
      <c r="D118" s="6"/>
      <c r="E118" s="6"/>
      <c r="F118" s="6"/>
      <c r="G118" s="6"/>
      <c r="H118" s="6"/>
    </row>
    <row r="119" spans="1:8" ht="11.25">
      <c r="A119" s="6"/>
      <c r="B119" s="6"/>
      <c r="C119" s="6"/>
      <c r="D119" s="6"/>
      <c r="E119" s="6"/>
      <c r="F119" s="6"/>
      <c r="G119" s="6"/>
      <c r="H119" s="6"/>
    </row>
    <row r="120" spans="1:8" ht="11.25">
      <c r="A120" s="6"/>
      <c r="B120" s="6"/>
      <c r="C120" s="6"/>
      <c r="D120" s="6"/>
      <c r="E120" s="6"/>
      <c r="F120" s="6"/>
      <c r="G120" s="6"/>
      <c r="H120" s="6"/>
    </row>
    <row r="121" spans="1:8" ht="11.25">
      <c r="A121" s="6"/>
      <c r="B121" s="6"/>
      <c r="C121" s="6"/>
      <c r="D121" s="6"/>
      <c r="E121" s="6"/>
      <c r="F121" s="6"/>
      <c r="G121" s="6"/>
      <c r="H121" s="6"/>
    </row>
    <row r="122" spans="1:8" ht="11.25">
      <c r="A122" s="6"/>
      <c r="B122" s="6"/>
      <c r="C122" s="6"/>
      <c r="D122" s="6"/>
      <c r="E122" s="6"/>
      <c r="F122" s="6"/>
      <c r="G122" s="6"/>
      <c r="H122" s="6"/>
    </row>
    <row r="123" spans="1:8" ht="11.25">
      <c r="A123" s="6"/>
      <c r="B123" s="6"/>
      <c r="C123" s="6"/>
      <c r="D123" s="6"/>
      <c r="E123" s="6"/>
      <c r="F123" s="6"/>
      <c r="G123" s="6"/>
      <c r="H123" s="6"/>
    </row>
    <row r="124" spans="1:8" ht="11.25">
      <c r="A124" s="6"/>
      <c r="B124" s="6"/>
      <c r="C124" s="6"/>
      <c r="D124" s="6"/>
      <c r="E124" s="6"/>
      <c r="F124" s="6"/>
      <c r="G124" s="6"/>
      <c r="H124" s="6"/>
    </row>
    <row r="125" spans="1:8" ht="11.25">
      <c r="A125" s="6"/>
      <c r="B125" s="6"/>
      <c r="C125" s="6"/>
      <c r="D125" s="6"/>
      <c r="E125" s="6"/>
      <c r="F125" s="6"/>
      <c r="G125" s="6"/>
      <c r="H125" s="6"/>
    </row>
    <row r="126" spans="1:8" ht="11.25">
      <c r="A126" s="6"/>
      <c r="B126" s="6"/>
      <c r="C126" s="6"/>
      <c r="D126" s="6"/>
      <c r="E126" s="6"/>
      <c r="F126" s="6"/>
      <c r="G126" s="6"/>
      <c r="H126" s="6"/>
    </row>
    <row r="127" spans="1:8" ht="11.25">
      <c r="A127" s="6"/>
      <c r="B127" s="6"/>
      <c r="C127" s="6"/>
      <c r="D127" s="6"/>
      <c r="E127" s="6"/>
      <c r="F127" s="6"/>
      <c r="G127" s="6"/>
      <c r="H127" s="6"/>
    </row>
    <row r="128" spans="1:8" ht="11.25">
      <c r="A128" s="6"/>
      <c r="B128" s="6"/>
      <c r="C128" s="6"/>
      <c r="D128" s="6"/>
      <c r="E128" s="6"/>
      <c r="F128" s="6"/>
      <c r="G128" s="6"/>
      <c r="H128" s="6"/>
    </row>
    <row r="129" spans="1:8" ht="11.25">
      <c r="A129" s="6"/>
      <c r="B129" s="6"/>
      <c r="C129" s="6"/>
      <c r="D129" s="6"/>
      <c r="E129" s="6"/>
      <c r="F129" s="6"/>
      <c r="G129" s="6"/>
      <c r="H129" s="6"/>
    </row>
    <row r="130" spans="1:8" ht="11.25">
      <c r="A130" s="6"/>
      <c r="B130" s="6"/>
      <c r="C130" s="6"/>
      <c r="D130" s="6"/>
      <c r="E130" s="6"/>
      <c r="F130" s="6"/>
      <c r="G130" s="6"/>
      <c r="H130" s="6"/>
    </row>
    <row r="131" spans="1:8" ht="11.25">
      <c r="A131" s="6"/>
      <c r="B131" s="6"/>
      <c r="C131" s="6"/>
      <c r="D131" s="6"/>
      <c r="E131" s="6"/>
      <c r="F131" s="6"/>
      <c r="G131" s="6"/>
      <c r="H131" s="6"/>
    </row>
    <row r="132" spans="1:8" ht="11.25">
      <c r="A132" s="6"/>
      <c r="B132" s="6"/>
      <c r="C132" s="6"/>
      <c r="D132" s="6"/>
      <c r="E132" s="6"/>
      <c r="F132" s="6"/>
      <c r="G132" s="6"/>
      <c r="H132" s="6"/>
    </row>
    <row r="133" spans="1:8" ht="11.25">
      <c r="A133" s="6"/>
      <c r="B133" s="6"/>
      <c r="C133" s="6"/>
      <c r="D133" s="6"/>
      <c r="E133" s="6"/>
      <c r="F133" s="6"/>
      <c r="G133" s="6"/>
      <c r="H133" s="6"/>
    </row>
    <row r="134" spans="1:8" ht="11.25">
      <c r="A134" s="6"/>
      <c r="B134" s="6"/>
      <c r="C134" s="6"/>
      <c r="D134" s="6"/>
      <c r="E134" s="6"/>
      <c r="F134" s="6"/>
      <c r="G134" s="6"/>
      <c r="H134" s="6"/>
    </row>
    <row r="135" spans="1:8" ht="11.25">
      <c r="A135" s="6"/>
      <c r="B135" s="6"/>
      <c r="C135" s="6"/>
      <c r="D135" s="6"/>
      <c r="E135" s="6"/>
      <c r="F135" s="6"/>
      <c r="G135" s="6"/>
      <c r="H135" s="6"/>
    </row>
    <row r="136" spans="1:8" ht="11.25">
      <c r="A136" s="6"/>
      <c r="B136" s="6"/>
      <c r="C136" s="6"/>
      <c r="D136" s="6"/>
      <c r="E136" s="6"/>
      <c r="F136" s="6"/>
      <c r="G136" s="6"/>
      <c r="H136" s="6"/>
    </row>
    <row r="137" spans="1:8" ht="11.25">
      <c r="A137" s="6"/>
      <c r="B137" s="6"/>
      <c r="C137" s="6"/>
      <c r="D137" s="6"/>
      <c r="E137" s="6"/>
      <c r="F137" s="6"/>
      <c r="G137" s="6"/>
      <c r="H137" s="6"/>
    </row>
    <row r="138" spans="1:8" ht="11.25">
      <c r="A138" s="6"/>
      <c r="B138" s="6"/>
      <c r="C138" s="6"/>
      <c r="D138" s="6"/>
      <c r="E138" s="6"/>
      <c r="F138" s="6"/>
      <c r="G138" s="6"/>
      <c r="H138" s="6"/>
    </row>
    <row r="139" spans="1:8" ht="11.25">
      <c r="A139" s="6"/>
      <c r="B139" s="6"/>
      <c r="C139" s="6"/>
      <c r="D139" s="6"/>
      <c r="E139" s="6"/>
      <c r="F139" s="6"/>
      <c r="G139" s="6"/>
      <c r="H139" s="6"/>
    </row>
    <row r="140" spans="1:8" ht="11.25">
      <c r="A140" s="6"/>
      <c r="B140" s="6"/>
      <c r="C140" s="6"/>
      <c r="D140" s="6"/>
      <c r="E140" s="6"/>
      <c r="F140" s="6"/>
      <c r="G140" s="6"/>
      <c r="H140" s="6"/>
    </row>
    <row r="141" spans="1:8" ht="11.25">
      <c r="A141" s="6"/>
      <c r="B141" s="6"/>
      <c r="C141" s="6"/>
      <c r="D141" s="6"/>
      <c r="E141" s="6"/>
      <c r="F141" s="6"/>
      <c r="G141" s="6"/>
      <c r="H141" s="6"/>
    </row>
    <row r="142" spans="1:8" ht="11.25">
      <c r="A142" s="6"/>
      <c r="B142" s="6"/>
      <c r="C142" s="6"/>
      <c r="D142" s="6"/>
      <c r="E142" s="6"/>
      <c r="F142" s="6"/>
      <c r="G142" s="6"/>
      <c r="H142" s="6"/>
    </row>
    <row r="143" spans="1:8" ht="11.25">
      <c r="A143" s="6"/>
      <c r="B143" s="6"/>
      <c r="C143" s="6"/>
      <c r="D143" s="6"/>
      <c r="E143" s="6"/>
      <c r="F143" s="6"/>
      <c r="G143" s="6"/>
      <c r="H143" s="6"/>
    </row>
    <row r="144" spans="1:8" ht="11.25">
      <c r="A144" s="6"/>
      <c r="B144" s="6"/>
      <c r="C144" s="6"/>
      <c r="D144" s="6"/>
      <c r="E144" s="6"/>
      <c r="F144" s="6"/>
      <c r="G144" s="6"/>
      <c r="H144" s="6"/>
    </row>
    <row r="145" spans="1:8" ht="11.25">
      <c r="A145" s="6"/>
      <c r="B145" s="6"/>
      <c r="C145" s="6"/>
      <c r="D145" s="6"/>
      <c r="E145" s="6"/>
      <c r="F145" s="6"/>
      <c r="G145" s="6"/>
      <c r="H145" s="6"/>
    </row>
    <row r="146" spans="1:8" ht="11.25">
      <c r="A146" s="6"/>
      <c r="B146" s="6"/>
      <c r="C146" s="6"/>
      <c r="D146" s="6"/>
      <c r="E146" s="6"/>
      <c r="F146" s="6"/>
      <c r="G146" s="6"/>
      <c r="H146" s="6"/>
    </row>
    <row r="147" spans="1:8" ht="11.25">
      <c r="A147" s="6"/>
      <c r="B147" s="6"/>
      <c r="C147" s="6"/>
      <c r="D147" s="6"/>
      <c r="E147" s="6"/>
      <c r="F147" s="6"/>
      <c r="G147" s="6"/>
      <c r="H147" s="6"/>
    </row>
    <row r="148" spans="1:8" ht="11.25">
      <c r="A148" s="6"/>
      <c r="B148" s="6"/>
      <c r="C148" s="6"/>
      <c r="D148" s="6"/>
      <c r="E148" s="6"/>
      <c r="F148" s="6"/>
      <c r="G148" s="6"/>
      <c r="H148" s="6"/>
    </row>
    <row r="149" spans="1:8" ht="11.25">
      <c r="A149" s="6"/>
      <c r="B149" s="6"/>
      <c r="C149" s="6"/>
      <c r="D149" s="6"/>
      <c r="E149" s="6"/>
      <c r="F149" s="6"/>
      <c r="G149" s="6"/>
      <c r="H149" s="6"/>
    </row>
    <row r="150" spans="1:8" ht="11.25">
      <c r="A150" s="6"/>
      <c r="B150" s="6"/>
      <c r="C150" s="6"/>
      <c r="D150" s="6"/>
      <c r="E150" s="6"/>
      <c r="F150" s="6"/>
      <c r="G150" s="6"/>
      <c r="H150" s="6"/>
    </row>
    <row r="151" spans="1:8" ht="11.25">
      <c r="A151" s="6"/>
      <c r="B151" s="6"/>
      <c r="C151" s="6"/>
      <c r="D151" s="6"/>
      <c r="E151" s="6"/>
      <c r="F151" s="6"/>
      <c r="G151" s="6"/>
      <c r="H151" s="6"/>
    </row>
    <row r="152" spans="1:8" ht="11.25">
      <c r="A152" s="6"/>
      <c r="B152" s="6"/>
      <c r="C152" s="6"/>
      <c r="D152" s="6"/>
      <c r="E152" s="6"/>
      <c r="F152" s="6"/>
      <c r="G152" s="6"/>
      <c r="H152" s="6"/>
    </row>
    <row r="153" spans="1:8" ht="11.25">
      <c r="A153" s="6"/>
      <c r="B153" s="6"/>
      <c r="C153" s="6"/>
      <c r="D153" s="6"/>
      <c r="E153" s="6"/>
      <c r="F153" s="6"/>
      <c r="G153" s="6"/>
      <c r="H153" s="6"/>
    </row>
    <row r="154" spans="1:8" ht="11.25">
      <c r="A154" s="6"/>
      <c r="B154" s="6"/>
      <c r="C154" s="6"/>
      <c r="D154" s="6"/>
      <c r="E154" s="6"/>
      <c r="F154" s="6"/>
      <c r="G154" s="6"/>
      <c r="H154" s="6"/>
    </row>
    <row r="155" spans="1:8" ht="11.25">
      <c r="A155" s="6"/>
      <c r="B155" s="6"/>
      <c r="C155" s="6"/>
      <c r="D155" s="6"/>
      <c r="E155" s="6"/>
      <c r="F155" s="6"/>
      <c r="G155" s="6"/>
      <c r="H155" s="6"/>
    </row>
    <row r="156" spans="1:8" ht="11.25">
      <c r="A156" s="6"/>
      <c r="B156" s="6"/>
      <c r="C156" s="6"/>
      <c r="D156" s="6"/>
      <c r="E156" s="6"/>
      <c r="F156" s="6"/>
      <c r="G156" s="6"/>
      <c r="H156" s="6"/>
    </row>
    <row r="157" spans="1:8" ht="11.25">
      <c r="A157" s="6"/>
      <c r="B157" s="6"/>
      <c r="C157" s="6"/>
      <c r="D157" s="6"/>
      <c r="E157" s="6"/>
      <c r="F157" s="6"/>
      <c r="G157" s="6"/>
      <c r="H157" s="6"/>
    </row>
    <row r="158" spans="1:8" ht="11.25">
      <c r="A158" s="6"/>
      <c r="B158" s="6"/>
      <c r="C158" s="6"/>
      <c r="D158" s="6"/>
      <c r="E158" s="6"/>
      <c r="F158" s="6"/>
      <c r="G158" s="6"/>
      <c r="H158" s="6"/>
    </row>
    <row r="159" spans="1:8" ht="11.25">
      <c r="A159" s="6"/>
      <c r="B159" s="6"/>
      <c r="C159" s="6"/>
      <c r="D159" s="6"/>
      <c r="E159" s="6"/>
      <c r="F159" s="6"/>
      <c r="G159" s="6"/>
      <c r="H159" s="6"/>
    </row>
    <row r="160" spans="1:8" ht="11.25">
      <c r="A160" s="6"/>
      <c r="B160" s="6"/>
      <c r="C160" s="6"/>
      <c r="D160" s="6"/>
      <c r="E160" s="6"/>
      <c r="F160" s="6"/>
      <c r="G160" s="6"/>
      <c r="H160" s="6"/>
    </row>
    <row r="161" spans="1:8" ht="11.25">
      <c r="A161" s="6"/>
      <c r="B161" s="6"/>
      <c r="C161" s="6"/>
      <c r="D161" s="6"/>
      <c r="E161" s="6"/>
      <c r="F161" s="6"/>
      <c r="G161" s="6"/>
      <c r="H161" s="6"/>
    </row>
    <row r="162" spans="1:8" ht="11.25">
      <c r="A162" s="6"/>
      <c r="B162" s="6"/>
      <c r="C162" s="6"/>
      <c r="D162" s="6"/>
      <c r="E162" s="6"/>
      <c r="F162" s="6"/>
      <c r="G162" s="6"/>
      <c r="H162" s="6"/>
    </row>
    <row r="163" spans="1:8" ht="11.25">
      <c r="A163" s="6"/>
      <c r="B163" s="6"/>
      <c r="C163" s="6"/>
      <c r="D163" s="6"/>
      <c r="E163" s="6"/>
      <c r="F163" s="6"/>
      <c r="G163" s="6"/>
      <c r="H163" s="6"/>
    </row>
    <row r="164" spans="1:8" ht="11.25">
      <c r="A164" s="6"/>
      <c r="B164" s="6"/>
      <c r="C164" s="6"/>
      <c r="D164" s="6"/>
      <c r="E164" s="6"/>
      <c r="F164" s="6"/>
      <c r="G164" s="6"/>
      <c r="H164" s="6"/>
    </row>
    <row r="165" spans="1:8" ht="11.25">
      <c r="A165" s="6"/>
      <c r="B165" s="6"/>
      <c r="C165" s="6"/>
      <c r="D165" s="6"/>
      <c r="E165" s="6"/>
      <c r="F165" s="6"/>
      <c r="G165" s="6"/>
      <c r="H165" s="6"/>
    </row>
    <row r="166" spans="1:8" ht="11.25">
      <c r="A166" s="6"/>
      <c r="B166" s="6"/>
      <c r="C166" s="6"/>
      <c r="D166" s="6"/>
      <c r="E166" s="6"/>
      <c r="F166" s="6"/>
      <c r="G166" s="6"/>
      <c r="H166" s="6"/>
    </row>
    <row r="167" spans="1:8" ht="11.25">
      <c r="A167" s="6"/>
      <c r="B167" s="6"/>
      <c r="C167" s="6"/>
      <c r="D167" s="6"/>
      <c r="E167" s="6"/>
      <c r="F167" s="6"/>
      <c r="G167" s="6"/>
      <c r="H167" s="6"/>
    </row>
    <row r="168" spans="1:8" ht="11.25">
      <c r="A168" s="6"/>
      <c r="B168" s="6"/>
      <c r="C168" s="6"/>
      <c r="D168" s="6"/>
      <c r="E168" s="6"/>
      <c r="F168" s="6"/>
      <c r="G168" s="6"/>
      <c r="H168" s="6"/>
    </row>
    <row r="169" spans="1:8" ht="11.25">
      <c r="A169" s="6"/>
      <c r="B169" s="6"/>
      <c r="C169" s="6"/>
      <c r="D169" s="6"/>
      <c r="E169" s="6"/>
      <c r="F169" s="6"/>
      <c r="G169" s="6"/>
      <c r="H169" s="6"/>
    </row>
    <row r="170" spans="1:8" ht="11.25">
      <c r="A170" s="6"/>
      <c r="B170" s="6"/>
      <c r="C170" s="6"/>
      <c r="D170" s="6"/>
      <c r="E170" s="6"/>
      <c r="F170" s="6"/>
      <c r="G170" s="6"/>
      <c r="H170" s="6"/>
    </row>
    <row r="171" spans="1:8" ht="11.25">
      <c r="A171" s="6"/>
      <c r="B171" s="6"/>
      <c r="C171" s="6"/>
      <c r="D171" s="6"/>
      <c r="E171" s="6"/>
      <c r="F171" s="6"/>
      <c r="G171" s="6"/>
      <c r="H171" s="6"/>
    </row>
    <row r="172" spans="1:8" ht="11.25">
      <c r="A172" s="6"/>
      <c r="B172" s="6"/>
      <c r="C172" s="6"/>
      <c r="D172" s="6"/>
      <c r="E172" s="6"/>
      <c r="F172" s="6"/>
      <c r="G172" s="6"/>
      <c r="H172" s="6"/>
    </row>
    <row r="173" spans="1:8" ht="11.25">
      <c r="A173" s="6"/>
      <c r="B173" s="6"/>
      <c r="C173" s="6"/>
      <c r="D173" s="6"/>
      <c r="E173" s="6"/>
      <c r="F173" s="6"/>
      <c r="G173" s="6"/>
      <c r="H173" s="6"/>
    </row>
    <row r="174" spans="1:8" ht="11.25">
      <c r="A174" s="6"/>
      <c r="B174" s="6"/>
      <c r="C174" s="6"/>
      <c r="D174" s="6"/>
      <c r="E174" s="6"/>
      <c r="F174" s="6"/>
      <c r="G174" s="6"/>
      <c r="H174" s="6"/>
    </row>
    <row r="175" spans="1:8" ht="11.25">
      <c r="A175" s="6"/>
      <c r="B175" s="6"/>
      <c r="C175" s="6"/>
      <c r="D175" s="6"/>
      <c r="E175" s="6"/>
      <c r="F175" s="6"/>
      <c r="G175" s="6"/>
      <c r="H175" s="6"/>
    </row>
    <row r="176" spans="1:8" ht="11.25">
      <c r="A176" s="6"/>
      <c r="B176" s="6"/>
      <c r="C176" s="6"/>
      <c r="D176" s="6"/>
      <c r="E176" s="6"/>
      <c r="F176" s="6"/>
      <c r="G176" s="6"/>
      <c r="H176" s="6"/>
    </row>
    <row r="177" spans="1:8" ht="11.25">
      <c r="A177" s="6"/>
      <c r="B177" s="6"/>
      <c r="C177" s="6"/>
      <c r="D177" s="6"/>
      <c r="E177" s="6"/>
      <c r="F177" s="6"/>
      <c r="G177" s="6"/>
      <c r="H177" s="6"/>
    </row>
    <row r="178" spans="1:8" ht="11.25">
      <c r="A178" s="6"/>
      <c r="B178" s="6"/>
      <c r="C178" s="6"/>
      <c r="D178" s="6"/>
      <c r="E178" s="6"/>
      <c r="F178" s="6"/>
      <c r="G178" s="6"/>
      <c r="H178" s="6"/>
    </row>
    <row r="179" spans="1:8" ht="11.25">
      <c r="A179" s="6"/>
      <c r="B179" s="6"/>
      <c r="C179" s="6"/>
      <c r="D179" s="6"/>
      <c r="E179" s="6"/>
      <c r="F179" s="6"/>
      <c r="G179" s="6"/>
      <c r="H179" s="6"/>
    </row>
    <row r="180" spans="1:8" ht="11.25">
      <c r="A180" s="6"/>
      <c r="B180" s="6"/>
      <c r="C180" s="6"/>
      <c r="D180" s="6"/>
      <c r="E180" s="6"/>
      <c r="F180" s="6"/>
      <c r="G180" s="6"/>
      <c r="H180" s="6"/>
    </row>
    <row r="181" spans="1:8" ht="11.25">
      <c r="A181" s="6"/>
      <c r="B181" s="6"/>
      <c r="C181" s="6"/>
      <c r="D181" s="6"/>
      <c r="E181" s="6"/>
      <c r="F181" s="6"/>
      <c r="G181" s="6"/>
      <c r="H181" s="6"/>
    </row>
    <row r="182" spans="1:8" ht="11.25">
      <c r="A182" s="6"/>
      <c r="B182" s="6"/>
      <c r="C182" s="6"/>
      <c r="D182" s="6"/>
      <c r="E182" s="6"/>
      <c r="F182" s="6"/>
      <c r="G182" s="6"/>
      <c r="H182" s="6"/>
    </row>
    <row r="183" spans="1:8" ht="11.25">
      <c r="A183" s="6"/>
      <c r="B183" s="6"/>
      <c r="C183" s="6"/>
      <c r="D183" s="6"/>
      <c r="E183" s="6"/>
      <c r="F183" s="6"/>
      <c r="G183" s="6"/>
      <c r="H183" s="6"/>
    </row>
    <row r="184" spans="1:8" ht="11.25">
      <c r="A184" s="6"/>
      <c r="B184" s="6"/>
      <c r="C184" s="6"/>
      <c r="D184" s="6"/>
      <c r="E184" s="6"/>
      <c r="F184" s="6"/>
      <c r="G184" s="6"/>
      <c r="H184" s="6"/>
    </row>
    <row r="185" spans="1:8" ht="11.25">
      <c r="A185" s="6"/>
      <c r="B185" s="6"/>
      <c r="C185" s="6"/>
      <c r="D185" s="6"/>
      <c r="E185" s="6"/>
      <c r="F185" s="6"/>
      <c r="G185" s="6"/>
      <c r="H185" s="6"/>
    </row>
    <row r="186" spans="1:8" ht="11.25">
      <c r="A186" s="6"/>
      <c r="B186" s="6"/>
      <c r="C186" s="6"/>
      <c r="D186" s="6"/>
      <c r="E186" s="6"/>
      <c r="F186" s="6"/>
      <c r="G186" s="6"/>
      <c r="H186" s="6"/>
    </row>
    <row r="187" spans="1:8" ht="11.25">
      <c r="A187" s="6"/>
      <c r="B187" s="6"/>
      <c r="C187" s="6"/>
      <c r="D187" s="6"/>
      <c r="E187" s="6"/>
      <c r="F187" s="6"/>
      <c r="G187" s="6"/>
      <c r="H187" s="6"/>
    </row>
    <row r="188" spans="1:8" ht="11.25">
      <c r="A188" s="6"/>
      <c r="B188" s="6"/>
      <c r="C188" s="6"/>
      <c r="D188" s="6"/>
      <c r="E188" s="6"/>
      <c r="F188" s="6"/>
      <c r="G188" s="6"/>
      <c r="H188" s="6"/>
    </row>
    <row r="189" spans="1:8" ht="11.25">
      <c r="A189" s="6"/>
      <c r="B189" s="6"/>
      <c r="C189" s="6"/>
      <c r="D189" s="6"/>
      <c r="E189" s="6"/>
      <c r="F189" s="6"/>
      <c r="G189" s="6"/>
      <c r="H189" s="6"/>
    </row>
    <row r="190" spans="1:8" ht="11.25">
      <c r="A190" s="6"/>
      <c r="B190" s="6"/>
      <c r="C190" s="6"/>
      <c r="D190" s="6"/>
      <c r="E190" s="6"/>
      <c r="F190" s="6"/>
      <c r="G190" s="6"/>
      <c r="H190" s="6"/>
    </row>
    <row r="191" spans="1:8" ht="11.25">
      <c r="A191" s="6"/>
      <c r="B191" s="6"/>
      <c r="C191" s="6"/>
      <c r="D191" s="6"/>
      <c r="E191" s="6"/>
      <c r="F191" s="6"/>
      <c r="G191" s="6"/>
      <c r="H191" s="6"/>
    </row>
    <row r="192" spans="1:8" ht="11.25">
      <c r="A192" s="6"/>
      <c r="B192" s="6"/>
      <c r="C192" s="6"/>
      <c r="D192" s="6"/>
      <c r="E192" s="6"/>
      <c r="F192" s="6"/>
      <c r="G192" s="6"/>
      <c r="H192" s="6"/>
    </row>
    <row r="193" spans="1:8" ht="11.25">
      <c r="A193" s="6"/>
      <c r="B193" s="6"/>
      <c r="C193" s="6"/>
      <c r="D193" s="6"/>
      <c r="E193" s="6"/>
      <c r="F193" s="6"/>
      <c r="G193" s="6"/>
      <c r="H193" s="6"/>
    </row>
    <row r="194" spans="1:8" ht="11.25">
      <c r="A194" s="6"/>
      <c r="B194" s="6"/>
      <c r="C194" s="6"/>
      <c r="D194" s="6"/>
      <c r="E194" s="6"/>
      <c r="F194" s="6"/>
      <c r="G194" s="6"/>
      <c r="H194" s="6"/>
    </row>
    <row r="195" spans="1:8" ht="11.25">
      <c r="A195" s="6"/>
      <c r="B195" s="6"/>
      <c r="C195" s="6"/>
      <c r="D195" s="6"/>
      <c r="E195" s="6"/>
      <c r="F195" s="6"/>
      <c r="G195" s="6"/>
      <c r="H195" s="6"/>
    </row>
    <row r="196" spans="1:8" ht="11.25">
      <c r="A196" s="6"/>
      <c r="B196" s="6"/>
      <c r="C196" s="6"/>
      <c r="D196" s="6"/>
      <c r="E196" s="6"/>
      <c r="F196" s="6"/>
      <c r="G196" s="6"/>
      <c r="H196" s="6"/>
    </row>
    <row r="197" spans="1:8" ht="11.25">
      <c r="A197" s="6"/>
      <c r="B197" s="6"/>
      <c r="C197" s="6"/>
      <c r="D197" s="6"/>
      <c r="E197" s="6"/>
      <c r="F197" s="6"/>
      <c r="G197" s="6"/>
      <c r="H197" s="6"/>
    </row>
    <row r="198" spans="1:8" ht="11.25">
      <c r="A198" s="6"/>
      <c r="B198" s="6"/>
      <c r="C198" s="6"/>
      <c r="D198" s="6"/>
      <c r="E198" s="6"/>
      <c r="F198" s="6"/>
      <c r="G198" s="6"/>
      <c r="H198" s="6"/>
    </row>
    <row r="199" spans="1:8" ht="11.25">
      <c r="A199" s="6"/>
      <c r="B199" s="6"/>
      <c r="C199" s="6"/>
      <c r="D199" s="6"/>
      <c r="E199" s="6"/>
      <c r="F199" s="6"/>
      <c r="G199" s="6"/>
      <c r="H199" s="6"/>
    </row>
    <row r="200" spans="1:8" ht="11.25">
      <c r="A200" s="6"/>
      <c r="B200" s="6"/>
      <c r="C200" s="6"/>
      <c r="D200" s="6"/>
      <c r="E200" s="6"/>
      <c r="F200" s="6"/>
      <c r="G200" s="6"/>
      <c r="H200" s="6"/>
    </row>
    <row r="201" spans="1:8" ht="11.25">
      <c r="A201" s="6"/>
      <c r="B201" s="6"/>
      <c r="C201" s="6"/>
      <c r="D201" s="6"/>
      <c r="E201" s="6"/>
      <c r="F201" s="6"/>
      <c r="G201" s="6"/>
      <c r="H201" s="6"/>
    </row>
    <row r="202" spans="1:8" ht="11.25">
      <c r="A202" s="6"/>
      <c r="B202" s="6"/>
      <c r="C202" s="6"/>
      <c r="D202" s="6"/>
      <c r="E202" s="6"/>
      <c r="F202" s="6"/>
      <c r="G202" s="6"/>
      <c r="H202" s="6"/>
    </row>
    <row r="203" spans="1:8" ht="11.25">
      <c r="A203" s="6"/>
      <c r="B203" s="6"/>
      <c r="C203" s="6"/>
      <c r="D203" s="6"/>
      <c r="E203" s="6"/>
      <c r="F203" s="6"/>
      <c r="G203" s="6"/>
      <c r="H203" s="6"/>
    </row>
    <row r="204" spans="1:8" ht="11.25">
      <c r="A204" s="6"/>
      <c r="B204" s="6"/>
      <c r="C204" s="6"/>
      <c r="D204" s="6"/>
      <c r="E204" s="6"/>
      <c r="F204" s="6"/>
      <c r="G204" s="6"/>
      <c r="H204" s="6"/>
    </row>
    <row r="205" spans="1:8" ht="11.25">
      <c r="A205" s="6"/>
      <c r="B205" s="6"/>
      <c r="C205" s="6"/>
      <c r="D205" s="6"/>
      <c r="E205" s="6"/>
      <c r="F205" s="6"/>
      <c r="G205" s="6"/>
      <c r="H205" s="6"/>
    </row>
    <row r="206" spans="1:8" ht="11.25">
      <c r="A206" s="6"/>
      <c r="B206" s="6"/>
      <c r="C206" s="6"/>
      <c r="D206" s="6"/>
      <c r="E206" s="6"/>
      <c r="F206" s="6"/>
      <c r="G206" s="6"/>
      <c r="H206" s="6"/>
    </row>
    <row r="207" spans="1:8" ht="11.25">
      <c r="A207" s="6"/>
      <c r="B207" s="6"/>
      <c r="C207" s="6"/>
      <c r="D207" s="6"/>
      <c r="E207" s="6"/>
      <c r="F207" s="6"/>
      <c r="G207" s="6"/>
      <c r="H207" s="6"/>
    </row>
    <row r="208" spans="1:8" ht="11.25">
      <c r="A208" s="6"/>
      <c r="B208" s="6"/>
      <c r="C208" s="6"/>
      <c r="D208" s="6"/>
      <c r="E208" s="6"/>
      <c r="F208" s="6"/>
      <c r="G208" s="6"/>
      <c r="H208" s="6"/>
    </row>
    <row r="209" spans="1:8" ht="11.25">
      <c r="A209" s="6"/>
      <c r="B209" s="6"/>
      <c r="C209" s="6"/>
      <c r="D209" s="6"/>
      <c r="E209" s="6"/>
      <c r="F209" s="6"/>
      <c r="G209" s="6"/>
      <c r="H209" s="6"/>
    </row>
    <row r="210" spans="1:8" ht="11.25">
      <c r="A210" s="6"/>
      <c r="B210" s="6"/>
      <c r="C210" s="6"/>
      <c r="D210" s="6"/>
      <c r="E210" s="6"/>
      <c r="F210" s="6"/>
      <c r="G210" s="6"/>
      <c r="H210" s="6"/>
    </row>
    <row r="211" spans="1:8" ht="11.25">
      <c r="A211" s="6"/>
      <c r="B211" s="6"/>
      <c r="C211" s="6"/>
      <c r="D211" s="6"/>
      <c r="E211" s="6"/>
      <c r="F211" s="6"/>
      <c r="G211" s="6"/>
      <c r="H211" s="6"/>
    </row>
    <row r="212" spans="1:8" ht="11.25">
      <c r="A212" s="6"/>
      <c r="B212" s="6"/>
      <c r="C212" s="6"/>
      <c r="D212" s="6"/>
      <c r="E212" s="6"/>
      <c r="F212" s="6"/>
      <c r="G212" s="6"/>
      <c r="H212" s="6"/>
    </row>
    <row r="213" spans="1:8" ht="11.25">
      <c r="A213" s="6"/>
      <c r="B213" s="6"/>
      <c r="C213" s="6"/>
      <c r="D213" s="6"/>
      <c r="E213" s="6"/>
      <c r="F213" s="6"/>
      <c r="G213" s="6"/>
      <c r="H213" s="6"/>
    </row>
    <row r="214" spans="1:8" ht="11.25">
      <c r="A214" s="6"/>
      <c r="B214" s="6"/>
      <c r="C214" s="6"/>
      <c r="D214" s="6"/>
      <c r="E214" s="6"/>
      <c r="F214" s="6"/>
      <c r="G214" s="6"/>
      <c r="H214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2002-05-02T15:55:00Z</cp:lastPrinted>
  <dcterms:created xsi:type="dcterms:W3CDTF">2002-03-08T14:33:54Z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