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oston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<sst xmlns="http://schemas.openxmlformats.org/spreadsheetml/2006/main" count="80" uniqueCount="68">
  <si>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18-43    BANKBOSTON NATIONAL ASSOCIATION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</si>
  <si>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</si>
  <si>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</si>
  <si>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</si>
  <si>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</si>
  <si>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</si>
  <si>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</si>
  <si>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</si>
  <si>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</si>
  <si>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</si>
  <si>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</si>
  <si>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</si>
  <si>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</si>
  <si>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</si>
  <si>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</si>
  <si>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</si>
  <si>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</si>
  <si>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</si>
  <si>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</si>
  <si>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</si>
  <si>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</si>
  <si>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</si>
  <si>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</si>
  <si>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</si>
  <si>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</si>
  <si>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</si>
  <si>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</si>
  <si>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</si>
  <si>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</si>
  <si>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</si>
  <si>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</si>
  <si>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</si>
  <si>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</si>
  <si>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</si>
  <si>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</si>
  <si>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</si>
  <si>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</si>
  <si>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</si>
  <si>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</si>
  <si>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</si>
  <si>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</si>
  <si>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</t>
  </si>
  <si>
    <t>Patrimonio /Activos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</si>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</sst>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  <numFmt numFmtId="187" formatCode="_ * #,##0.000_ ;_ * \-#,##0.000_ ;_ * &quot;-&quot;??_ ;_ @_ "/>
    <numFmt numFmtId="188" formatCode="_ * #,##0.0000_ ;_ * \-#,##0.0000_ ;_ * &quot;-&quot;??_ ;_ @_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1.421875" defaultRowHeight="12.75"/>
  <cols>
    <col min="1" max="1" width="3.57421875" style="1" customWidth="1"/>
    <col min="2" max="2" width="34.7109375" style="1" customWidth="1"/>
    <col min="3" max="3" width="11.421875" style="1" customWidth="1"/>
    <col min="4" max="4" width="7.8515625" style="1" customWidth="1"/>
    <col min="5" max="5" width="8.140625" style="1" customWidth="1"/>
    <col min="6" max="6" width="8.7109375" style="1" customWidth="1"/>
    <col min="7" max="7" width="10.57421875" style="1" customWidth="1"/>
    <col min="8" max="8" width="10.421875" style="1" customWidth="1"/>
    <col min="9" max="16384" width="11.421875" style="1" customWidth="1"/>
  </cols>
  <sheetData>
    <row r="1" spans="2:8" s="2" customFormat="1" ht="9.75" customHeight="1">
      <c r="B1" s="14"/>
      <c r="C1" s="14"/>
      <c r="D1" s="14"/>
      <c r="E1" s="14"/>
      <c r="F1" s="14"/>
      <c r="G1" s="14"/>
      <c r="H1" s="14"/>
    </row>
    <row r="2" spans="2:8" s="2" customFormat="1" ht="11.25">
      <c r="B2" s="14"/>
      <c r="C2" s="14"/>
      <c r="D2" s="14"/>
      <c r="E2" s="14"/>
      <c r="F2" s="14" t="s">
        <v>0</v>
      </c>
      <c r="G2" s="14"/>
      <c r="H2" s="14"/>
    </row>
    <row r="3" spans="2:8" s="2" customFormat="1" ht="11.25">
      <c r="B3" s="15"/>
      <c r="C3" s="15"/>
      <c r="D3" s="15"/>
      <c r="E3" s="15"/>
      <c r="F3" s="14" t="s">
        <v>1</v>
      </c>
      <c r="G3" s="15"/>
      <c r="H3" s="15"/>
    </row>
    <row r="4" spans="1:8" s="2" customFormat="1" ht="11.25">
      <c r="A4" s="15"/>
      <c r="B4" s="15"/>
      <c r="C4" s="15"/>
      <c r="D4" s="15"/>
      <c r="E4" s="15"/>
      <c r="F4" s="15" t="s">
        <v>2</v>
      </c>
      <c r="G4" s="15"/>
      <c r="H4" s="15"/>
    </row>
    <row r="5" spans="1:8" s="2" customFormat="1" ht="11.25">
      <c r="A5" s="15"/>
      <c r="B5" s="15"/>
      <c r="C5" s="15"/>
      <c r="D5" s="15"/>
      <c r="E5" s="15"/>
      <c r="F5" s="15"/>
      <c r="G5" s="15"/>
      <c r="H5" s="15"/>
    </row>
    <row r="6" spans="1:8" s="2" customFormat="1" ht="11.25">
      <c r="A6" s="15"/>
      <c r="B6" s="15"/>
      <c r="C6" s="15"/>
      <c r="D6" s="15"/>
      <c r="E6" s="15"/>
      <c r="F6" s="15"/>
      <c r="G6" s="15"/>
      <c r="H6" s="15"/>
    </row>
    <row r="7" spans="1:8" s="2" customFormat="1" ht="11.25">
      <c r="A7" s="3"/>
      <c r="B7" s="3"/>
      <c r="C7" s="3"/>
      <c r="D7" s="3"/>
      <c r="E7" s="3"/>
      <c r="F7" s="3"/>
      <c r="G7" s="3"/>
      <c r="H7" s="3"/>
    </row>
    <row r="8" spans="1:8" s="2" customFormat="1" ht="11.25">
      <c r="A8" s="4"/>
      <c r="B8" s="4"/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</row>
    <row r="9" spans="1:8" s="2" customFormat="1" ht="11.25">
      <c r="A9" s="5" t="s">
        <v>9</v>
      </c>
      <c r="B9" s="5"/>
      <c r="C9" s="6"/>
      <c r="D9" s="6"/>
      <c r="E9" s="6"/>
      <c r="F9" s="6"/>
      <c r="G9" s="6"/>
      <c r="H9" s="6"/>
    </row>
    <row r="10" spans="1:8" s="2" customFormat="1" ht="11.25">
      <c r="A10" s="2" t="s">
        <v>10</v>
      </c>
      <c r="C10" s="7">
        <v>463990</v>
      </c>
      <c r="D10" s="7">
        <v>323073</v>
      </c>
      <c r="E10" s="7">
        <v>315556</v>
      </c>
      <c r="F10" s="7">
        <v>318107</v>
      </c>
      <c r="G10" s="7">
        <v>298994</v>
      </c>
      <c r="H10" s="7">
        <v>301793</v>
      </c>
    </row>
    <row r="11" spans="1:8" s="2" customFormat="1" ht="11.25">
      <c r="A11" s="2" t="s">
        <v>11</v>
      </c>
      <c r="C11" s="7">
        <v>161955</v>
      </c>
      <c r="D11" s="7">
        <v>51968</v>
      </c>
      <c r="E11" s="7">
        <v>44526</v>
      </c>
      <c r="F11" s="7">
        <v>85473</v>
      </c>
      <c r="G11" s="7">
        <v>67459</v>
      </c>
      <c r="H11" s="7">
        <v>85635</v>
      </c>
    </row>
    <row r="12" spans="1:8" s="2" customFormat="1" ht="11.25">
      <c r="A12" s="2" t="s">
        <v>12</v>
      </c>
      <c r="C12" s="7">
        <f aca="true" t="shared" si="0" ref="C12:H12">C13+C14</f>
        <v>268358</v>
      </c>
      <c r="D12" s="7">
        <f t="shared" si="0"/>
        <v>257485</v>
      </c>
      <c r="E12" s="7">
        <f t="shared" si="0"/>
        <v>258265</v>
      </c>
      <c r="F12" s="7">
        <f t="shared" si="0"/>
        <v>225439</v>
      </c>
      <c r="G12" s="7">
        <f t="shared" si="0"/>
        <v>226297</v>
      </c>
      <c r="H12" s="7">
        <f t="shared" si="0"/>
        <v>212508</v>
      </c>
    </row>
    <row r="13" spans="2:8" s="2" customFormat="1" ht="11.25">
      <c r="B13" s="2" t="s">
        <v>13</v>
      </c>
      <c r="C13" s="7">
        <v>237759</v>
      </c>
      <c r="D13" s="7">
        <v>228965</v>
      </c>
      <c r="E13" s="7">
        <v>225067</v>
      </c>
      <c r="F13" s="7">
        <v>192232</v>
      </c>
      <c r="G13" s="7">
        <v>192765</v>
      </c>
      <c r="H13" s="7">
        <v>138022</v>
      </c>
    </row>
    <row r="14" spans="2:8" s="2" customFormat="1" ht="11.25">
      <c r="B14" s="2" t="s">
        <v>14</v>
      </c>
      <c r="C14" s="7">
        <v>30599</v>
      </c>
      <c r="D14" s="7">
        <v>28520</v>
      </c>
      <c r="E14" s="7">
        <v>33198</v>
      </c>
      <c r="F14" s="7">
        <v>33207</v>
      </c>
      <c r="G14" s="7">
        <v>33532</v>
      </c>
      <c r="H14" s="7">
        <v>74486</v>
      </c>
    </row>
    <row r="15" spans="1:8" s="2" customFormat="1" ht="11.25">
      <c r="A15" s="2" t="s">
        <v>15</v>
      </c>
      <c r="C15" s="7">
        <v>28480</v>
      </c>
      <c r="D15" s="7">
        <v>9000</v>
      </c>
      <c r="E15" s="7">
        <v>8765</v>
      </c>
      <c r="F15" s="7">
        <v>1964</v>
      </c>
      <c r="G15" s="7">
        <v>1965</v>
      </c>
      <c r="H15" s="7">
        <v>0</v>
      </c>
    </row>
    <row r="16" spans="1:8" s="2" customFormat="1" ht="11.25">
      <c r="A16" s="2" t="s">
        <v>16</v>
      </c>
      <c r="C16" s="7">
        <f aca="true" t="shared" si="1" ref="C16:H16">C17+C21</f>
        <v>428873</v>
      </c>
      <c r="D16" s="7">
        <f t="shared" si="1"/>
        <v>292051</v>
      </c>
      <c r="E16" s="7">
        <f t="shared" si="1"/>
        <v>287880</v>
      </c>
      <c r="F16" s="7">
        <f t="shared" si="1"/>
        <v>289701</v>
      </c>
      <c r="G16" s="7">
        <f t="shared" si="1"/>
        <v>273077</v>
      </c>
      <c r="H16" s="7">
        <f t="shared" si="1"/>
        <v>279033</v>
      </c>
    </row>
    <row r="17" spans="2:8" s="2" customFormat="1" ht="11.25">
      <c r="B17" s="2" t="s">
        <v>13</v>
      </c>
      <c r="C17" s="7">
        <f aca="true" t="shared" si="2" ref="C17:H17">SUM(C18:C20)</f>
        <v>278692</v>
      </c>
      <c r="D17" s="7">
        <f t="shared" si="2"/>
        <v>211613</v>
      </c>
      <c r="E17" s="7">
        <f t="shared" si="2"/>
        <v>112155</v>
      </c>
      <c r="F17" s="7">
        <f t="shared" si="2"/>
        <v>133392</v>
      </c>
      <c r="G17" s="7">
        <f t="shared" si="2"/>
        <v>88592</v>
      </c>
      <c r="H17" s="7">
        <f t="shared" si="2"/>
        <v>112843</v>
      </c>
    </row>
    <row r="18" spans="2:8" s="2" customFormat="1" ht="11.25">
      <c r="B18" s="2" t="s">
        <v>17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2:8" s="2" customFormat="1" ht="11.25">
      <c r="B19" s="2" t="s">
        <v>18</v>
      </c>
      <c r="C19" s="7">
        <v>67094</v>
      </c>
      <c r="D19" s="7">
        <v>91451</v>
      </c>
      <c r="E19" s="7">
        <v>56690</v>
      </c>
      <c r="F19" s="7">
        <v>53097</v>
      </c>
      <c r="G19" s="7">
        <v>42773</v>
      </c>
      <c r="H19" s="7">
        <v>33814</v>
      </c>
    </row>
    <row r="20" spans="2:8" s="2" customFormat="1" ht="11.25">
      <c r="B20" s="2" t="s">
        <v>19</v>
      </c>
      <c r="C20" s="7">
        <v>211598</v>
      </c>
      <c r="D20" s="7">
        <v>120162</v>
      </c>
      <c r="E20" s="7">
        <v>55465</v>
      </c>
      <c r="F20" s="7">
        <v>80295</v>
      </c>
      <c r="G20" s="7">
        <v>45819</v>
      </c>
      <c r="H20" s="7">
        <v>79029</v>
      </c>
    </row>
    <row r="21" spans="2:8" s="2" customFormat="1" ht="11.25">
      <c r="B21" s="2" t="s">
        <v>14</v>
      </c>
      <c r="C21" s="7">
        <f aca="true" t="shared" si="3" ref="C21:H21">SUM(C22:C23)</f>
        <v>150181</v>
      </c>
      <c r="D21" s="7">
        <f t="shared" si="3"/>
        <v>80438</v>
      </c>
      <c r="E21" s="7">
        <f t="shared" si="3"/>
        <v>175725</v>
      </c>
      <c r="F21" s="7">
        <f t="shared" si="3"/>
        <v>156309</v>
      </c>
      <c r="G21" s="7">
        <f t="shared" si="3"/>
        <v>184485</v>
      </c>
      <c r="H21" s="7">
        <f t="shared" si="3"/>
        <v>166190</v>
      </c>
    </row>
    <row r="22" spans="2:8" s="2" customFormat="1" ht="11.25">
      <c r="B22" s="2" t="s">
        <v>18</v>
      </c>
      <c r="C22" s="7">
        <v>12344</v>
      </c>
      <c r="D22" s="7">
        <v>10338</v>
      </c>
      <c r="E22" s="7">
        <v>11625</v>
      </c>
      <c r="F22" s="7">
        <v>9665</v>
      </c>
      <c r="G22" s="7">
        <v>8186</v>
      </c>
      <c r="H22" s="7">
        <v>22260</v>
      </c>
    </row>
    <row r="23" spans="2:8" s="2" customFormat="1" ht="11.25">
      <c r="B23" s="2" t="s">
        <v>19</v>
      </c>
      <c r="C23" s="7">
        <v>137837</v>
      </c>
      <c r="D23" s="7">
        <v>70100</v>
      </c>
      <c r="E23" s="7">
        <v>164100</v>
      </c>
      <c r="F23" s="7">
        <v>146644</v>
      </c>
      <c r="G23" s="7">
        <v>176299</v>
      </c>
      <c r="H23" s="7">
        <v>143930</v>
      </c>
    </row>
    <row r="24" spans="1:8" s="2" customFormat="1" ht="11.25">
      <c r="A24" s="3" t="s">
        <v>20</v>
      </c>
      <c r="B24" s="3"/>
      <c r="C24" s="8">
        <v>24580</v>
      </c>
      <c r="D24" s="8">
        <v>23598</v>
      </c>
      <c r="E24" s="8">
        <v>22111</v>
      </c>
      <c r="F24" s="8">
        <v>21049</v>
      </c>
      <c r="G24" s="8">
        <v>19909</v>
      </c>
      <c r="H24" s="8">
        <v>17333</v>
      </c>
    </row>
    <row r="25" spans="1:8" s="2" customFormat="1" ht="11.25">
      <c r="A25" s="5" t="s">
        <v>21</v>
      </c>
      <c r="C25" s="7"/>
      <c r="D25" s="7"/>
      <c r="E25" s="7"/>
      <c r="F25" s="7"/>
      <c r="G25" s="7"/>
      <c r="H25" s="7"/>
    </row>
    <row r="26" spans="1:8" s="2" customFormat="1" ht="11.25">
      <c r="A26" s="2" t="s">
        <v>10</v>
      </c>
      <c r="C26" s="7">
        <f>(463990+298994)/2</f>
        <v>381492</v>
      </c>
      <c r="D26" s="7">
        <f>(D10+262329)/2</f>
        <v>292701</v>
      </c>
      <c r="E26" s="7">
        <f>(E10+279670)/2</f>
        <v>297613</v>
      </c>
      <c r="F26" s="7">
        <f>(F10+260469)/2</f>
        <v>289288</v>
      </c>
      <c r="G26" s="7">
        <f>(G10+H10)/2</f>
        <v>300393.5</v>
      </c>
      <c r="H26" s="7">
        <f>(H10+273644)/2</f>
        <v>287718.5</v>
      </c>
    </row>
    <row r="27" spans="1:8" s="2" customFormat="1" ht="11.25">
      <c r="A27" s="2" t="s">
        <v>22</v>
      </c>
      <c r="C27" s="7">
        <f aca="true" t="shared" si="4" ref="C27:H27">C28+C29</f>
        <v>262550</v>
      </c>
      <c r="D27" s="7">
        <f t="shared" si="4"/>
        <v>228949</v>
      </c>
      <c r="E27" s="7">
        <f t="shared" si="4"/>
        <v>229187.5</v>
      </c>
      <c r="F27" s="7">
        <f t="shared" si="4"/>
        <v>208650</v>
      </c>
      <c r="G27" s="7">
        <f t="shared" si="4"/>
        <v>220385</v>
      </c>
      <c r="H27" s="7">
        <f t="shared" si="4"/>
        <v>205227.5</v>
      </c>
    </row>
    <row r="28" spans="2:8" s="2" customFormat="1" ht="11.25">
      <c r="B28" s="2" t="s">
        <v>12</v>
      </c>
      <c r="C28" s="7">
        <f>(C12+G12)/2</f>
        <v>247327.5</v>
      </c>
      <c r="D28" s="7">
        <f>(D12+191413)/2</f>
        <v>224449</v>
      </c>
      <c r="E28" s="7">
        <f>(E12+191345)/2</f>
        <v>224805</v>
      </c>
      <c r="F28" s="7">
        <f>(F12+189897)/2</f>
        <v>207668</v>
      </c>
      <c r="G28" s="7">
        <f>(G12+H12)/2</f>
        <v>219402.5</v>
      </c>
      <c r="H28" s="7">
        <f>(H12+197947)/2</f>
        <v>205227.5</v>
      </c>
    </row>
    <row r="29" spans="2:8" s="2" customFormat="1" ht="11.25">
      <c r="B29" s="2" t="s">
        <v>15</v>
      </c>
      <c r="C29" s="7">
        <f>(C15+G15)/2</f>
        <v>15222.5</v>
      </c>
      <c r="D29" s="7">
        <f>(D15+0)/2</f>
        <v>4500</v>
      </c>
      <c r="E29" s="7">
        <f>(E15+0)/2</f>
        <v>4382.5</v>
      </c>
      <c r="F29" s="7">
        <f>(1964+0)/2</f>
        <v>982</v>
      </c>
      <c r="G29" s="7">
        <f>(G15+H15)/2</f>
        <v>982.5</v>
      </c>
      <c r="H29" s="7">
        <v>0</v>
      </c>
    </row>
    <row r="30" spans="1:8" s="2" customFormat="1" ht="11.25">
      <c r="A30" s="3" t="s">
        <v>20</v>
      </c>
      <c r="B30" s="3"/>
      <c r="C30" s="8">
        <f>(C24+G24)/2</f>
        <v>22244.5</v>
      </c>
      <c r="D30" s="8">
        <f>(D24+20039)/2</f>
        <v>21818.5</v>
      </c>
      <c r="E30" s="8">
        <f>(E24+18942)/2</f>
        <v>20526.5</v>
      </c>
      <c r="F30" s="8">
        <f>(F24+17872)/2</f>
        <v>19460.5</v>
      </c>
      <c r="G30" s="8">
        <f>(G24+H24)/2</f>
        <v>18621</v>
      </c>
      <c r="H30" s="8">
        <f>(H24+14688)/2</f>
        <v>16010.5</v>
      </c>
    </row>
    <row r="31" s="2" customFormat="1" ht="11.25">
      <c r="A31" s="5" t="s">
        <v>23</v>
      </c>
    </row>
    <row r="32" spans="1:8" s="2" customFormat="1" ht="11.25">
      <c r="A32" s="2" t="s">
        <v>24</v>
      </c>
      <c r="C32" s="7">
        <f>7847+D32</f>
        <v>26600</v>
      </c>
      <c r="D32" s="7">
        <f>6642+E32</f>
        <v>18753</v>
      </c>
      <c r="E32" s="7">
        <f>6295+F32</f>
        <v>12111</v>
      </c>
      <c r="F32" s="7">
        <v>5816</v>
      </c>
      <c r="G32" s="7">
        <v>17931</v>
      </c>
      <c r="H32" s="7">
        <v>5150</v>
      </c>
    </row>
    <row r="33" spans="1:8" s="2" customFormat="1" ht="11.25">
      <c r="A33" s="2" t="s">
        <v>25</v>
      </c>
      <c r="C33" s="7">
        <f>5445+D33</f>
        <v>18456</v>
      </c>
      <c r="D33" s="7">
        <f>4531+E33</f>
        <v>13011</v>
      </c>
      <c r="E33" s="7">
        <f>4468+F33</f>
        <v>8480</v>
      </c>
      <c r="F33" s="7">
        <v>4012</v>
      </c>
      <c r="G33" s="7">
        <v>12837</v>
      </c>
      <c r="H33" s="7">
        <v>3516</v>
      </c>
    </row>
    <row r="34" spans="1:8" s="2" customFormat="1" ht="11.25">
      <c r="A34" s="2" t="s">
        <v>26</v>
      </c>
      <c r="C34" s="7">
        <f aca="true" t="shared" si="5" ref="C34:H34">C32-C33</f>
        <v>8144</v>
      </c>
      <c r="D34" s="7">
        <f t="shared" si="5"/>
        <v>5742</v>
      </c>
      <c r="E34" s="7">
        <f t="shared" si="5"/>
        <v>3631</v>
      </c>
      <c r="F34" s="7">
        <f t="shared" si="5"/>
        <v>1804</v>
      </c>
      <c r="G34" s="7">
        <f t="shared" si="5"/>
        <v>5094</v>
      </c>
      <c r="H34" s="7">
        <f t="shared" si="5"/>
        <v>1634</v>
      </c>
    </row>
    <row r="35" spans="1:8" s="2" customFormat="1" ht="11.25">
      <c r="A35" s="2" t="s">
        <v>27</v>
      </c>
      <c r="C35" s="7">
        <f>600+D35</f>
        <v>2486</v>
      </c>
      <c r="D35" s="7">
        <f>989+E35</f>
        <v>1886</v>
      </c>
      <c r="E35" s="7">
        <f>459+F35</f>
        <v>897</v>
      </c>
      <c r="F35" s="7">
        <v>438</v>
      </c>
      <c r="G35" s="7">
        <v>1371</v>
      </c>
      <c r="H35" s="7">
        <v>224</v>
      </c>
    </row>
    <row r="36" spans="1:8" s="2" customFormat="1" ht="11.25">
      <c r="A36" s="2" t="s">
        <v>28</v>
      </c>
      <c r="C36" s="7">
        <f aca="true" t="shared" si="6" ref="C36:H36">C34+C35</f>
        <v>10630</v>
      </c>
      <c r="D36" s="7">
        <f t="shared" si="6"/>
        <v>7628</v>
      </c>
      <c r="E36" s="7">
        <f t="shared" si="6"/>
        <v>4528</v>
      </c>
      <c r="F36" s="7">
        <f t="shared" si="6"/>
        <v>2242</v>
      </c>
      <c r="G36" s="7">
        <f t="shared" si="6"/>
        <v>6465</v>
      </c>
      <c r="H36" s="7">
        <f t="shared" si="6"/>
        <v>1858</v>
      </c>
    </row>
    <row r="37" spans="1:8" s="2" customFormat="1" ht="11.25">
      <c r="A37" s="2" t="s">
        <v>29</v>
      </c>
      <c r="C37" s="7">
        <f>2001+D37</f>
        <v>5835</v>
      </c>
      <c r="D37" s="7">
        <f>1616+E37</f>
        <v>3834</v>
      </c>
      <c r="E37" s="7">
        <f>1219+F37</f>
        <v>2218</v>
      </c>
      <c r="F37" s="7">
        <v>999</v>
      </c>
      <c r="G37" s="7">
        <v>4669</v>
      </c>
      <c r="H37" s="7">
        <v>788</v>
      </c>
    </row>
    <row r="38" spans="1:8" s="2" customFormat="1" ht="11.25">
      <c r="A38" s="2" t="s">
        <v>30</v>
      </c>
      <c r="C38" s="7">
        <f aca="true" t="shared" si="7" ref="C38:H38">C36-C37</f>
        <v>4795</v>
      </c>
      <c r="D38" s="7">
        <f t="shared" si="7"/>
        <v>3794</v>
      </c>
      <c r="E38" s="7">
        <f t="shared" si="7"/>
        <v>2310</v>
      </c>
      <c r="F38" s="7">
        <f t="shared" si="7"/>
        <v>1243</v>
      </c>
      <c r="G38" s="7">
        <f t="shared" si="7"/>
        <v>1796</v>
      </c>
      <c r="H38" s="7">
        <f t="shared" si="7"/>
        <v>1070</v>
      </c>
    </row>
    <row r="39" spans="1:8" s="2" customFormat="1" ht="11.25">
      <c r="A39" s="3" t="s">
        <v>31</v>
      </c>
      <c r="B39" s="3"/>
      <c r="C39" s="8">
        <f>981+D39</f>
        <v>4775</v>
      </c>
      <c r="D39" s="8">
        <f>1484+E39</f>
        <v>3794</v>
      </c>
      <c r="E39" s="8">
        <f>1067+F39</f>
        <v>2310</v>
      </c>
      <c r="F39" s="8">
        <v>1243</v>
      </c>
      <c r="G39" s="8">
        <v>1793</v>
      </c>
      <c r="H39" s="8">
        <v>1067</v>
      </c>
    </row>
    <row r="40" spans="1:8" s="2" customFormat="1" ht="11.25">
      <c r="A40" s="5" t="s">
        <v>32</v>
      </c>
      <c r="C40" s="7"/>
      <c r="D40" s="7"/>
      <c r="E40" s="7"/>
      <c r="F40" s="7"/>
      <c r="G40" s="7"/>
      <c r="H40" s="7"/>
    </row>
    <row r="41" spans="1:8" s="2" customFormat="1" ht="11.25">
      <c r="A41" s="2" t="s">
        <v>33</v>
      </c>
      <c r="C41" s="7">
        <v>660</v>
      </c>
      <c r="D41" s="7">
        <v>3115</v>
      </c>
      <c r="E41" s="7">
        <v>626</v>
      </c>
      <c r="F41" s="7">
        <v>82</v>
      </c>
      <c r="G41" s="7">
        <v>0</v>
      </c>
      <c r="H41" s="7">
        <v>0</v>
      </c>
    </row>
    <row r="42" spans="1:8" s="2" customFormat="1" ht="11.25">
      <c r="A42" s="2" t="s">
        <v>34</v>
      </c>
      <c r="C42" s="7">
        <v>0</v>
      </c>
      <c r="D42" s="7">
        <v>0</v>
      </c>
      <c r="E42" s="7">
        <v>0</v>
      </c>
      <c r="F42" s="7">
        <v>0</v>
      </c>
      <c r="G42" s="7">
        <v>78</v>
      </c>
      <c r="H42" s="7">
        <v>6</v>
      </c>
    </row>
    <row r="43" spans="1:8" s="2" customFormat="1" ht="11.25">
      <c r="A43" s="2" t="s">
        <v>35</v>
      </c>
      <c r="C43" s="9">
        <f aca="true" t="shared" si="8" ref="C43:H43">C41/C12</f>
        <v>0.002459401247587178</v>
      </c>
      <c r="D43" s="9">
        <f t="shared" si="8"/>
        <v>0.01209779210439443</v>
      </c>
      <c r="E43" s="9">
        <f t="shared" si="8"/>
        <v>0.0024238669583567267</v>
      </c>
      <c r="F43" s="9">
        <f t="shared" si="8"/>
        <v>0.00036373475751755465</v>
      </c>
      <c r="G43" s="9">
        <f t="shared" si="8"/>
        <v>0</v>
      </c>
      <c r="H43" s="9">
        <f t="shared" si="8"/>
        <v>0</v>
      </c>
    </row>
    <row r="44" spans="1:8" s="2" customFormat="1" ht="11.25">
      <c r="A44" s="2" t="s">
        <v>36</v>
      </c>
      <c r="C44" s="9">
        <f aca="true" t="shared" si="9" ref="C44:H44">(C42)/C12</f>
        <v>0</v>
      </c>
      <c r="D44" s="9">
        <f t="shared" si="9"/>
        <v>0</v>
      </c>
      <c r="E44" s="9">
        <f t="shared" si="9"/>
        <v>0</v>
      </c>
      <c r="F44" s="9">
        <f t="shared" si="9"/>
        <v>0</v>
      </c>
      <c r="G44" s="9">
        <f t="shared" si="9"/>
        <v>0.00034467977922818244</v>
      </c>
      <c r="H44" s="9">
        <f t="shared" si="9"/>
        <v>2.8234231181884916E-05</v>
      </c>
    </row>
    <row r="45" spans="1:8" s="2" customFormat="1" ht="11.25">
      <c r="A45" s="10" t="s">
        <v>37</v>
      </c>
      <c r="C45" s="9">
        <f aca="true" t="shared" si="10" ref="C45:H45">(C41+C42)/C12</f>
        <v>0.002459401247587178</v>
      </c>
      <c r="D45" s="9">
        <f t="shared" si="10"/>
        <v>0.01209779210439443</v>
      </c>
      <c r="E45" s="9">
        <f t="shared" si="10"/>
        <v>0.0024238669583567267</v>
      </c>
      <c r="F45" s="9">
        <f t="shared" si="10"/>
        <v>0.00036373475751755465</v>
      </c>
      <c r="G45" s="9">
        <f t="shared" si="10"/>
        <v>0.00034467977922818244</v>
      </c>
      <c r="H45" s="9">
        <f t="shared" si="10"/>
        <v>2.8234231181884916E-05</v>
      </c>
    </row>
    <row r="46" spans="1:8" s="2" customFormat="1" ht="11.25">
      <c r="A46" s="2" t="s">
        <v>38</v>
      </c>
      <c r="C46" s="9">
        <v>0.0007</v>
      </c>
      <c r="D46" s="9">
        <v>0.0009</v>
      </c>
      <c r="E46" s="9">
        <v>0.0009</v>
      </c>
      <c r="F46" s="9">
        <v>0.0011</v>
      </c>
      <c r="G46" s="9">
        <v>0.0011</v>
      </c>
      <c r="H46" s="9">
        <f>(239/H12)</f>
        <v>0.001124663542078416</v>
      </c>
    </row>
    <row r="47" spans="1:8" s="2" customFormat="1" ht="11.25">
      <c r="A47" s="3" t="s">
        <v>39</v>
      </c>
      <c r="B47" s="3"/>
      <c r="C47" s="11">
        <v>0.2843</v>
      </c>
      <c r="D47" s="11">
        <v>0.0768</v>
      </c>
      <c r="E47" s="11">
        <v>0.3817</v>
      </c>
      <c r="F47" s="11">
        <v>2.8986</v>
      </c>
      <c r="G47" s="11">
        <v>3.0529</v>
      </c>
      <c r="H47" s="11">
        <f>239/H42</f>
        <v>39.833333333333336</v>
      </c>
    </row>
    <row r="48" s="2" customFormat="1" ht="11.25">
      <c r="A48" s="5" t="s">
        <v>40</v>
      </c>
    </row>
    <row r="49" spans="1:8" s="2" customFormat="1" ht="11.25">
      <c r="A49" s="2" t="s">
        <v>41</v>
      </c>
      <c r="C49" s="9">
        <f aca="true" t="shared" si="11" ref="C49:H49">C24/(C12+C15)</f>
        <v>0.08280610972988633</v>
      </c>
      <c r="D49" s="9">
        <f t="shared" si="11"/>
        <v>0.0885528266131302</v>
      </c>
      <c r="E49" s="9">
        <f t="shared" si="11"/>
        <v>0.08280343032618058</v>
      </c>
      <c r="F49" s="9">
        <f t="shared" si="11"/>
        <v>0.09256254315026627</v>
      </c>
      <c r="G49" s="9">
        <f t="shared" si="11"/>
        <v>0.08721994900596683</v>
      </c>
      <c r="H49" s="9">
        <f t="shared" si="11"/>
        <v>0.08156398817926855</v>
      </c>
    </row>
    <row r="50" spans="1:8" s="2" customFormat="1" ht="11.25">
      <c r="A50" s="3" t="s">
        <v>42</v>
      </c>
      <c r="B50" s="3"/>
      <c r="C50" s="11">
        <f aca="true" t="shared" si="12" ref="C50:H50">C24/C10</f>
        <v>0.052975279639647405</v>
      </c>
      <c r="D50" s="11">
        <f t="shared" si="12"/>
        <v>0.07304231551383124</v>
      </c>
      <c r="E50" s="11">
        <f t="shared" si="12"/>
        <v>0.07006997173243418</v>
      </c>
      <c r="F50" s="11">
        <f t="shared" si="12"/>
        <v>0.0661695592992295</v>
      </c>
      <c r="G50" s="11">
        <f t="shared" si="12"/>
        <v>0.06658662046730035</v>
      </c>
      <c r="H50" s="11">
        <f t="shared" si="12"/>
        <v>0.0574334063414327</v>
      </c>
    </row>
    <row r="51" spans="1:8" s="2" customFormat="1" ht="11.25">
      <c r="A51" s="5" t="s">
        <v>43</v>
      </c>
      <c r="C51" s="12"/>
      <c r="D51" s="12"/>
      <c r="E51" s="12"/>
      <c r="F51" s="12"/>
      <c r="G51" s="12"/>
      <c r="H51" s="12"/>
    </row>
    <row r="52" spans="1:8" s="2" customFormat="1" ht="11.25">
      <c r="A52" s="2" t="s">
        <v>44</v>
      </c>
      <c r="C52" s="12">
        <f aca="true" t="shared" si="13" ref="C52:H52">C11/C16</f>
        <v>0.37762927486691866</v>
      </c>
      <c r="D52" s="12">
        <f t="shared" si="13"/>
        <v>0.1779415239119195</v>
      </c>
      <c r="E52" s="12">
        <f t="shared" si="13"/>
        <v>0.154668611921634</v>
      </c>
      <c r="F52" s="12">
        <f t="shared" si="13"/>
        <v>0.29503867780918946</v>
      </c>
      <c r="G52" s="12">
        <f t="shared" si="13"/>
        <v>0.2470328881597498</v>
      </c>
      <c r="H52" s="12">
        <f t="shared" si="13"/>
        <v>0.3068991839674877</v>
      </c>
    </row>
    <row r="53" spans="1:8" s="2" customFormat="1" ht="11.25">
      <c r="A53" s="2" t="s">
        <v>45</v>
      </c>
      <c r="C53" s="12">
        <f aca="true" t="shared" si="14" ref="C53:H53">C11/C10</f>
        <v>0.3490484708722171</v>
      </c>
      <c r="D53" s="12">
        <f t="shared" si="14"/>
        <v>0.1608552865760989</v>
      </c>
      <c r="E53" s="12">
        <f t="shared" si="14"/>
        <v>0.14110332238968679</v>
      </c>
      <c r="F53" s="12">
        <f t="shared" si="14"/>
        <v>0.26869260971937114</v>
      </c>
      <c r="G53" s="12">
        <f t="shared" si="14"/>
        <v>0.22561991210525964</v>
      </c>
      <c r="H53" s="12">
        <f t="shared" si="14"/>
        <v>0.28375409635081</v>
      </c>
    </row>
    <row r="54" spans="1:8" s="2" customFormat="1" ht="11.25">
      <c r="A54" s="3" t="s">
        <v>46</v>
      </c>
      <c r="B54" s="3"/>
      <c r="C54" s="13">
        <f aca="true" t="shared" si="15" ref="C54:H54">(C11+C15)/C16</f>
        <v>0.44403588008571304</v>
      </c>
      <c r="D54" s="13">
        <f t="shared" si="15"/>
        <v>0.2087580593800398</v>
      </c>
      <c r="E54" s="13">
        <f t="shared" si="15"/>
        <v>0.18511532583020704</v>
      </c>
      <c r="F54" s="13">
        <f t="shared" si="15"/>
        <v>0.3018180814011688</v>
      </c>
      <c r="G54" s="13">
        <f t="shared" si="15"/>
        <v>0.2542286607806589</v>
      </c>
      <c r="H54" s="13">
        <f t="shared" si="15"/>
        <v>0.3068991839674877</v>
      </c>
    </row>
    <row r="55" s="2" customFormat="1" ht="11.25">
      <c r="A55" s="5" t="s">
        <v>47</v>
      </c>
    </row>
    <row r="56" spans="1:8" s="2" customFormat="1" ht="11.25">
      <c r="A56" s="2" t="s">
        <v>48</v>
      </c>
      <c r="C56" s="9">
        <f>C39/C27</f>
        <v>0.01818701199771472</v>
      </c>
      <c r="D56" s="9">
        <f>(D39/0.75)/D27</f>
        <v>0.022095168210678653</v>
      </c>
      <c r="E56" s="9">
        <f>(E39/0.5)/E27</f>
        <v>0.020158167439323697</v>
      </c>
      <c r="F56" s="9">
        <f>((F39)/0.25)/F27</f>
        <v>0.023829379343398033</v>
      </c>
      <c r="G56" s="9">
        <f>G39/G27</f>
        <v>0.008135762415772399</v>
      </c>
      <c r="H56" s="9">
        <f>H39/H27</f>
        <v>0.00519910830663532</v>
      </c>
    </row>
    <row r="57" spans="1:8" s="2" customFormat="1" ht="11.25">
      <c r="A57" s="2" t="s">
        <v>49</v>
      </c>
      <c r="C57" s="9">
        <f>C39/C26</f>
        <v>0.012516645172113702</v>
      </c>
      <c r="D57" s="9">
        <f>(D39/0.75)/D26</f>
        <v>0.017282710570400057</v>
      </c>
      <c r="E57" s="9">
        <f>(E39/0.5)/E26</f>
        <v>0.015523515437833696</v>
      </c>
      <c r="F57" s="9">
        <f>((F39)/0.25)/F26</f>
        <v>0.01718702469511352</v>
      </c>
      <c r="G57" s="9">
        <f>G39/G26</f>
        <v>0.0059688375414248315</v>
      </c>
      <c r="H57" s="9">
        <f>H39/H26</f>
        <v>0.003708485898543194</v>
      </c>
    </row>
    <row r="58" spans="1:8" s="2" customFormat="1" ht="11.25">
      <c r="A58" s="2" t="s">
        <v>50</v>
      </c>
      <c r="C58" s="9">
        <f>C39/C30</f>
        <v>0.2146598035469442</v>
      </c>
      <c r="D58" s="9">
        <f>(D39/0.75)/D30</f>
        <v>0.23185217437801256</v>
      </c>
      <c r="E58" s="9">
        <f>(E39/0.5)/E30</f>
        <v>0.22507490317394588</v>
      </c>
      <c r="F58" s="9">
        <f>((F39)/0.25)/F30</f>
        <v>0.2554918938362324</v>
      </c>
      <c r="G58" s="9">
        <f>G39/G30</f>
        <v>0.09628913592180871</v>
      </c>
      <c r="H58" s="9">
        <f>H39/H30</f>
        <v>0.06664376502919958</v>
      </c>
    </row>
    <row r="59" spans="1:8" s="2" customFormat="1" ht="11.25">
      <c r="A59" s="2" t="s">
        <v>51</v>
      </c>
      <c r="C59" s="9">
        <f>C32/C26</f>
        <v>0.06972623279125119</v>
      </c>
      <c r="D59" s="9">
        <f>(D32/0.75)/D26</f>
        <v>0.08542505833598109</v>
      </c>
      <c r="E59" s="9">
        <f>(E32/0.5)/E26</f>
        <v>0.08138757379549952</v>
      </c>
      <c r="F59" s="9">
        <f>((F32)/0.25)/F26</f>
        <v>0.08041813002958989</v>
      </c>
      <c r="G59" s="9">
        <f>G32/G26</f>
        <v>0.059691704381086806</v>
      </c>
      <c r="H59" s="9">
        <f>H32/H26</f>
        <v>0.01789943990393388</v>
      </c>
    </row>
    <row r="60" spans="1:8" s="2" customFormat="1" ht="11.25">
      <c r="A60" s="2" t="s">
        <v>52</v>
      </c>
      <c r="C60" s="9">
        <f>C33/C26</f>
        <v>0.048378471894561355</v>
      </c>
      <c r="D60" s="9">
        <f>(D33/0.75)/D26</f>
        <v>0.05926867349274516</v>
      </c>
      <c r="E60" s="9">
        <f>(E33/0.5)/E26</f>
        <v>0.05698675797092197</v>
      </c>
      <c r="F60" s="9">
        <f>((F33)/0.25)/F26</f>
        <v>0.05547412958712425</v>
      </c>
      <c r="G60" s="9">
        <f>G33/G26</f>
        <v>0.04273394730578391</v>
      </c>
      <c r="H60" s="9">
        <f>H33/H26</f>
        <v>0.012220277806258548</v>
      </c>
    </row>
    <row r="61" spans="1:8" s="2" customFormat="1" ht="11.25">
      <c r="A61" s="2" t="s">
        <v>53</v>
      </c>
      <c r="C61" s="9">
        <f>C34/C26</f>
        <v>0.021347760896689837</v>
      </c>
      <c r="D61" s="9">
        <f>(D34)/0.75/D26</f>
        <v>0.02615638484323593</v>
      </c>
      <c r="E61" s="9">
        <f>(E34/0.5)/E26</f>
        <v>0.024400815824577555</v>
      </c>
      <c r="F61" s="9">
        <f>((F34)/0.25)/F26</f>
        <v>0.02494400044246564</v>
      </c>
      <c r="G61" s="9">
        <f>G34/G26</f>
        <v>0.016957757075302893</v>
      </c>
      <c r="H61" s="9">
        <f>H34/H26</f>
        <v>0.005679162097675332</v>
      </c>
    </row>
    <row r="62" spans="1:8" s="2" customFormat="1" ht="11.25">
      <c r="A62" s="2" t="s">
        <v>54</v>
      </c>
      <c r="C62" s="9">
        <f>C37/C36</f>
        <v>0.5489181561618062</v>
      </c>
      <c r="D62" s="9">
        <f>(D37/0.75)/(D36/0.75)</f>
        <v>0.5026219192448873</v>
      </c>
      <c r="E62" s="9">
        <f>(E37/0.5)/(E36/0.5)</f>
        <v>0.48984098939929327</v>
      </c>
      <c r="F62" s="9">
        <f>(F37/0.25)/(F36/0.25)</f>
        <v>0.4455842997323818</v>
      </c>
      <c r="G62" s="9">
        <f>G37/G36</f>
        <v>0.7221964423820573</v>
      </c>
      <c r="H62" s="9">
        <f>H37/H36</f>
        <v>0.4241119483315393</v>
      </c>
    </row>
    <row r="63" spans="1:8" s="2" customFormat="1" ht="11.25">
      <c r="A63" s="3" t="s">
        <v>55</v>
      </c>
      <c r="B63" s="3"/>
      <c r="C63" s="11">
        <f>C35/C26</f>
        <v>0.006516519350340243</v>
      </c>
      <c r="D63" s="11">
        <f>(D35/0.75)/D26</f>
        <v>0.008591247268258962</v>
      </c>
      <c r="E63" s="11">
        <f>(E35/0.5)/E26</f>
        <v>0.00602796248819776</v>
      </c>
      <c r="F63" s="11">
        <f>(F35/0.25)/F26</f>
        <v>0.0060562484444567355</v>
      </c>
      <c r="G63" s="11">
        <f>G35/G26</f>
        <v>0.004564013535579166</v>
      </c>
      <c r="H63" s="11">
        <f>H35/H26</f>
        <v>0.0007785387453361532</v>
      </c>
    </row>
    <row r="64" s="2" customFormat="1" ht="11.25">
      <c r="A64" s="5" t="s">
        <v>56</v>
      </c>
    </row>
    <row r="65" spans="1:8" s="2" customFormat="1" ht="11.25">
      <c r="A65" s="2" t="s">
        <v>57</v>
      </c>
      <c r="C65" s="7">
        <v>90</v>
      </c>
      <c r="D65" s="7">
        <v>90</v>
      </c>
      <c r="E65" s="7">
        <v>87</v>
      </c>
      <c r="F65" s="7">
        <v>79</v>
      </c>
      <c r="G65" s="7">
        <v>66</v>
      </c>
      <c r="H65" s="7">
        <v>58</v>
      </c>
    </row>
    <row r="66" spans="1:8" s="2" customFormat="1" ht="11.25">
      <c r="A66" s="2" t="s">
        <v>58</v>
      </c>
      <c r="C66" s="7">
        <v>1</v>
      </c>
      <c r="D66" s="7">
        <v>1</v>
      </c>
      <c r="E66" s="7">
        <v>1</v>
      </c>
      <c r="F66" s="7">
        <v>1</v>
      </c>
      <c r="G66" s="7">
        <v>1</v>
      </c>
      <c r="H66" s="7">
        <v>1</v>
      </c>
    </row>
    <row r="67" spans="1:8" s="2" customFormat="1" ht="11.25">
      <c r="A67" s="2" t="s">
        <v>59</v>
      </c>
      <c r="C67" s="7">
        <f aca="true" t="shared" si="16" ref="C67:H67">C12/C65</f>
        <v>2981.7555555555555</v>
      </c>
      <c r="D67" s="7">
        <f t="shared" si="16"/>
        <v>2860.9444444444443</v>
      </c>
      <c r="E67" s="7">
        <f t="shared" si="16"/>
        <v>2968.5632183908046</v>
      </c>
      <c r="F67" s="7">
        <f t="shared" si="16"/>
        <v>2853.6582278481014</v>
      </c>
      <c r="G67" s="7">
        <f t="shared" si="16"/>
        <v>3428.742424242424</v>
      </c>
      <c r="H67" s="7">
        <f t="shared" si="16"/>
        <v>3663.9310344827586</v>
      </c>
    </row>
    <row r="68" spans="1:8" s="2" customFormat="1" ht="11.25">
      <c r="A68" s="2" t="s">
        <v>60</v>
      </c>
      <c r="C68" s="7">
        <f aca="true" t="shared" si="17" ref="C68:H68">C16/C65</f>
        <v>4765.2555555555555</v>
      </c>
      <c r="D68" s="7">
        <f t="shared" si="17"/>
        <v>3245.011111111111</v>
      </c>
      <c r="E68" s="7">
        <f t="shared" si="17"/>
        <v>3308.9655172413795</v>
      </c>
      <c r="F68" s="7">
        <f t="shared" si="17"/>
        <v>3667.1012658227846</v>
      </c>
      <c r="G68" s="7">
        <f t="shared" si="17"/>
        <v>4137.530303030303</v>
      </c>
      <c r="H68" s="7">
        <f t="shared" si="17"/>
        <v>4810.913793103448</v>
      </c>
    </row>
    <row r="69" spans="1:8" s="2" customFormat="1" ht="11.25">
      <c r="A69" s="3" t="s">
        <v>61</v>
      </c>
      <c r="B69" s="3"/>
      <c r="C69" s="8">
        <f aca="true" t="shared" si="18" ref="C69:H69">(C39/C65)</f>
        <v>53.05555555555556</v>
      </c>
      <c r="D69" s="8">
        <f t="shared" si="18"/>
        <v>42.15555555555556</v>
      </c>
      <c r="E69" s="8">
        <f t="shared" si="18"/>
        <v>26.551724137931036</v>
      </c>
      <c r="F69" s="8">
        <f t="shared" si="18"/>
        <v>15.734177215189874</v>
      </c>
      <c r="G69" s="8">
        <f t="shared" si="18"/>
        <v>27.166666666666668</v>
      </c>
      <c r="H69" s="8">
        <f t="shared" si="18"/>
        <v>18.396551724137932</v>
      </c>
    </row>
    <row r="70" s="2" customFormat="1" ht="11.25">
      <c r="A70" s="5" t="s">
        <v>62</v>
      </c>
    </row>
    <row r="71" spans="1:8" s="2" customFormat="1" ht="11.25">
      <c r="A71" s="2" t="s">
        <v>63</v>
      </c>
      <c r="C71" s="9">
        <f>(C10/G10)-1</f>
        <v>0.5518371606119186</v>
      </c>
      <c r="D71" s="9">
        <f>(D10/262329)-1</f>
        <v>0.23155655684274334</v>
      </c>
      <c r="E71" s="9">
        <f>(E10/279670)-1</f>
        <v>0.12831551471376978</v>
      </c>
      <c r="F71" s="9">
        <f>(F10/260469)-1</f>
        <v>0.22128545047587234</v>
      </c>
      <c r="G71" s="9">
        <f>(G10/H10)-1</f>
        <v>-0.009274568992653887</v>
      </c>
      <c r="H71" s="9">
        <f>(H10/273644)-1</f>
        <v>0.10286722895440792</v>
      </c>
    </row>
    <row r="72" spans="1:8" s="2" customFormat="1" ht="11.25">
      <c r="A72" s="2" t="s">
        <v>64</v>
      </c>
      <c r="C72" s="9">
        <f>(C12/G12)-1</f>
        <v>0.18586636146303315</v>
      </c>
      <c r="D72" s="9">
        <f>D12/191413-1</f>
        <v>0.3451803169063752</v>
      </c>
      <c r="E72" s="9">
        <f>E12/191345-1</f>
        <v>0.3497347722699835</v>
      </c>
      <c r="F72" s="9">
        <f>F12/189897-1</f>
        <v>0.18716462082076069</v>
      </c>
      <c r="G72" s="9">
        <f>(G12/H12)-1</f>
        <v>0.06488696896116841</v>
      </c>
      <c r="H72" s="9">
        <f>H12/197947-1</f>
        <v>0.0735600943686947</v>
      </c>
    </row>
    <row r="73" spans="2:8" s="2" customFormat="1" ht="11.25">
      <c r="B73" s="2" t="s">
        <v>13</v>
      </c>
      <c r="C73" s="9">
        <f>(C13/G13)-1</f>
        <v>0.23341374212123567</v>
      </c>
      <c r="D73" s="9">
        <f>(D13/150894)-1</f>
        <v>0.5173896907763065</v>
      </c>
      <c r="E73" s="9">
        <f>(E13/148392)-1</f>
        <v>0.516705752331662</v>
      </c>
      <c r="F73" s="9">
        <f>(F13/146517)-1</f>
        <v>0.3120115754485828</v>
      </c>
      <c r="G73" s="9">
        <f>(G13/H13)-1</f>
        <v>0.39662517569662814</v>
      </c>
      <c r="H73" s="9">
        <f>(H13/144209)-1</f>
        <v>-0.04290300882746567</v>
      </c>
    </row>
    <row r="74" spans="2:8" s="2" customFormat="1" ht="11.25">
      <c r="B74" s="2" t="s">
        <v>14</v>
      </c>
      <c r="C74" s="9">
        <f>(C14/G14)-1</f>
        <v>-0.08746868662769891</v>
      </c>
      <c r="D74" s="9">
        <f>(D14/40519)-1</f>
        <v>-0.2961326784965078</v>
      </c>
      <c r="E74" s="9">
        <f>(E14/42953)-1</f>
        <v>-0.2271087002072032</v>
      </c>
      <c r="F74" s="9">
        <f>(F14/43380)-1</f>
        <v>-0.234508990318119</v>
      </c>
      <c r="G74" s="9">
        <f>(G14/H14)-1</f>
        <v>-0.5498214429557232</v>
      </c>
      <c r="H74" s="9">
        <f>(H14/53738)-1</f>
        <v>0.3860955003907849</v>
      </c>
    </row>
    <row r="75" spans="1:8" s="2" customFormat="1" ht="11.25">
      <c r="A75" s="2" t="s">
        <v>65</v>
      </c>
      <c r="C75" s="9">
        <f>(C16/G16)-1</f>
        <v>0.570520402670309</v>
      </c>
      <c r="D75" s="9">
        <f>D16/233782-1</f>
        <v>0.2492450231412171</v>
      </c>
      <c r="E75" s="9">
        <f>E16/255614-1</f>
        <v>0.1262293927562652</v>
      </c>
      <c r="F75" s="9">
        <f>F16/237592-1</f>
        <v>0.21932135762146876</v>
      </c>
      <c r="G75" s="9">
        <f>(G16/H16)-1</f>
        <v>-0.021345145556260325</v>
      </c>
      <c r="H75" s="9">
        <f>H16/253953-1</f>
        <v>0.09875843167830278</v>
      </c>
    </row>
    <row r="76" spans="2:8" s="2" customFormat="1" ht="11.25">
      <c r="B76" s="2" t="s">
        <v>13</v>
      </c>
      <c r="C76" s="9">
        <f>(C17/G17)-1</f>
        <v>2.1457919450966227</v>
      </c>
      <c r="D76" s="9">
        <f>(D17/93463)-1</f>
        <v>1.2641366102093876</v>
      </c>
      <c r="E76" s="9">
        <f>(E17/178035)-1</f>
        <v>-0.3700395989552616</v>
      </c>
      <c r="F76" s="9">
        <f>(F17/89331)-1</f>
        <v>0.4932330322060652</v>
      </c>
      <c r="G76" s="9">
        <f>(G17/H17)-1</f>
        <v>-0.2149092101415241</v>
      </c>
      <c r="H76" s="9">
        <f>(H17/107305)-1</f>
        <v>0.051609897022505846</v>
      </c>
    </row>
    <row r="77" spans="2:8" s="2" customFormat="1" ht="11.25">
      <c r="B77" s="2" t="s">
        <v>14</v>
      </c>
      <c r="C77" s="9">
        <f>(C21/G21)-1</f>
        <v>-0.18594465674716099</v>
      </c>
      <c r="D77" s="9">
        <f>(D21/140319)-1</f>
        <v>-0.4267490503780671</v>
      </c>
      <c r="E77" s="9">
        <f>(E21/77579)-1</f>
        <v>1.2651104035885998</v>
      </c>
      <c r="F77" s="9">
        <f>(F21/148260)-1</f>
        <v>0.05428976123027107</v>
      </c>
      <c r="G77" s="9">
        <f>(G21/H21)-1</f>
        <v>0.11008484264997898</v>
      </c>
      <c r="H77" s="9">
        <f>(H21/146648)-1</f>
        <v>0.13325786918335059</v>
      </c>
    </row>
    <row r="78" spans="1:8" s="2" customFormat="1" ht="11.25">
      <c r="A78" s="2" t="s">
        <v>66</v>
      </c>
      <c r="C78" s="9">
        <f>(C24/G24)-1</f>
        <v>0.23461750966899397</v>
      </c>
      <c r="D78" s="9">
        <f>(D24/20039)-1</f>
        <v>0.17760367283796596</v>
      </c>
      <c r="E78" s="9">
        <f>(E24/18492)-1</f>
        <v>0.19570625135193587</v>
      </c>
      <c r="F78" s="9">
        <f>(F24/17872)-1</f>
        <v>0.17776410026857659</v>
      </c>
      <c r="G78" s="9">
        <f>(G24/H24)-1</f>
        <v>0.14861824265851276</v>
      </c>
      <c r="H78" s="9">
        <f>(H24/14688)-1</f>
        <v>0.18007897603485845</v>
      </c>
    </row>
    <row r="79" spans="1:8" s="2" customFormat="1" ht="11.25">
      <c r="A79" s="3" t="s">
        <v>67</v>
      </c>
      <c r="B79" s="3"/>
      <c r="C79" s="11">
        <f>(C39/G39)-1</f>
        <v>1.6631344116006694</v>
      </c>
      <c r="D79" s="11">
        <f>(D39/3275)-1</f>
        <v>0.15847328244274816</v>
      </c>
      <c r="E79" s="11">
        <f>(E39/2163)-1</f>
        <v>0.06796116504854366</v>
      </c>
      <c r="F79" s="11">
        <f>(F39/1060)-1</f>
        <v>0.17264150943396217</v>
      </c>
      <c r="G79" s="11">
        <f>(G39/H39)-1</f>
        <v>0.6804123711340206</v>
      </c>
      <c r="H79" s="11">
        <f>(H39/2241)-1</f>
        <v>-0.5238732708612226</v>
      </c>
    </row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  <row r="198" s="2" customFormat="1" ht="11.25"/>
    <row r="199" s="2" customFormat="1" ht="11.25"/>
    <row r="200" s="2" customFormat="1" ht="11.25"/>
    <row r="201" s="2" customFormat="1" ht="11.25"/>
    <row r="202" s="2" customFormat="1" ht="11.25"/>
    <row r="203" s="2" customFormat="1" ht="11.25"/>
    <row r="204" s="2" customFormat="1" ht="11.25"/>
    <row r="205" s="2" customFormat="1" ht="11.25"/>
    <row r="206" s="2" customFormat="1" ht="11.25"/>
    <row r="207" s="2" customFormat="1" ht="11.25"/>
    <row r="208" s="2" customFormat="1" ht="11.25"/>
    <row r="209" s="2" customFormat="1" ht="11.25"/>
    <row r="210" s="2" customFormat="1" ht="11.25"/>
    <row r="211" s="2" customFormat="1" ht="11.25"/>
    <row r="212" s="2" customFormat="1" ht="11.25"/>
    <row r="213" s="2" customFormat="1" ht="11.25"/>
    <row r="214" s="2" customFormat="1" ht="11.25"/>
    <row r="215" s="2" customFormat="1" ht="11.25"/>
    <row r="216" s="2" customFormat="1" ht="11.25"/>
    <row r="217" s="2" customFormat="1" ht="11.25"/>
    <row r="218" s="2" customFormat="1" ht="11.25"/>
    <row r="219" s="2" customFormat="1" ht="11.25"/>
    <row r="220" s="2" customFormat="1" ht="11.25"/>
    <row r="221" s="2" customFormat="1" ht="11.25"/>
    <row r="222" s="2" customFormat="1" ht="11.25"/>
    <row r="223" s="2" customFormat="1" ht="11.25"/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2002-05-02T15:34:20Z</cp:lastPrinted>
  <dcterms:created xsi:type="dcterms:W3CDTF">2002-03-08T14:25:56Z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