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ai-Ichi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<sst xmlns="http://schemas.openxmlformats.org/spreadsheetml/2006/main" count="80" uniqueCount="68">
  <si>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18-42     THE DAI-ICHI KANGYO BANK, LTD.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</si>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</sst>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314325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57421875" style="1" customWidth="1"/>
    <col min="2" max="2" width="33.7109375" style="1" customWidth="1"/>
    <col min="3" max="3" width="11.28125" style="1" customWidth="1"/>
    <col min="4" max="4" width="8.7109375" style="1" customWidth="1"/>
    <col min="5" max="5" width="8.00390625" style="1" customWidth="1"/>
    <col min="6" max="6" width="9.00390625" style="1" customWidth="1"/>
    <col min="7" max="7" width="11.00390625" style="1" customWidth="1"/>
    <col min="8" max="8" width="10.57421875" style="1" customWidth="1"/>
    <col min="9" max="16384" width="11.421875" style="1" customWidth="1"/>
  </cols>
  <sheetData>
    <row r="1" spans="2:8" s="2" customFormat="1" ht="11.25">
      <c r="B1" s="15"/>
      <c r="C1" s="15"/>
      <c r="D1" s="15"/>
      <c r="E1" s="15"/>
      <c r="F1" s="15"/>
      <c r="G1" s="15"/>
      <c r="H1" s="15"/>
    </row>
    <row r="2" spans="2:8" s="2" customFormat="1" ht="11.25">
      <c r="B2" s="15"/>
      <c r="C2" s="15"/>
      <c r="D2" s="15"/>
      <c r="E2" s="15"/>
      <c r="F2" s="15" t="s">
        <v>0</v>
      </c>
      <c r="G2" s="15"/>
      <c r="H2" s="15"/>
    </row>
    <row r="3" spans="2:8" s="2" customFormat="1" ht="11.25">
      <c r="B3" s="14"/>
      <c r="C3" s="14"/>
      <c r="D3" s="14"/>
      <c r="E3" s="14"/>
      <c r="F3" s="15" t="s">
        <v>1</v>
      </c>
      <c r="G3" s="14"/>
      <c r="H3" s="14"/>
    </row>
    <row r="4" spans="1:8" s="2" customFormat="1" ht="11.25">
      <c r="A4" s="14"/>
      <c r="B4" s="14"/>
      <c r="C4" s="14"/>
      <c r="D4" s="14"/>
      <c r="E4" s="14"/>
      <c r="F4" s="14" t="s">
        <v>2</v>
      </c>
      <c r="G4" s="14"/>
      <c r="H4" s="14"/>
    </row>
    <row r="5" spans="1:8" s="2" customFormat="1" ht="11.25">
      <c r="A5" s="14"/>
      <c r="B5" s="14"/>
      <c r="C5" s="14"/>
      <c r="D5" s="14"/>
      <c r="E5" s="14"/>
      <c r="F5" s="14"/>
      <c r="G5" s="14"/>
      <c r="H5" s="14"/>
    </row>
    <row r="6" spans="1:8" s="2" customFormat="1" ht="11.25">
      <c r="A6" s="14"/>
      <c r="B6" s="14"/>
      <c r="C6" s="14"/>
      <c r="D6" s="14"/>
      <c r="E6" s="14"/>
      <c r="F6" s="14"/>
      <c r="G6" s="14"/>
      <c r="H6" s="14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281407</v>
      </c>
      <c r="D10" s="7">
        <v>332195</v>
      </c>
      <c r="E10" s="7">
        <v>292541</v>
      </c>
      <c r="F10" s="7">
        <v>337755</v>
      </c>
      <c r="G10" s="7">
        <v>348914</v>
      </c>
      <c r="H10" s="7">
        <v>464344</v>
      </c>
    </row>
    <row r="11" spans="1:8" s="2" customFormat="1" ht="11.25">
      <c r="A11" s="2" t="s">
        <v>11</v>
      </c>
      <c r="C11" s="7">
        <v>29487</v>
      </c>
      <c r="D11" s="7">
        <v>32474</v>
      </c>
      <c r="E11" s="7">
        <v>14415</v>
      </c>
      <c r="F11" s="7">
        <v>20097</v>
      </c>
      <c r="G11" s="7">
        <v>27692</v>
      </c>
      <c r="H11" s="7">
        <v>33368</v>
      </c>
    </row>
    <row r="12" spans="1:8" s="2" customFormat="1" ht="11.25">
      <c r="A12" s="2" t="s">
        <v>12</v>
      </c>
      <c r="C12" s="7">
        <f aca="true" t="shared" si="0" ref="C12:H12">C13+C14</f>
        <v>249314</v>
      </c>
      <c r="D12" s="7">
        <f t="shared" si="0"/>
        <v>296522</v>
      </c>
      <c r="E12" s="7">
        <f t="shared" si="0"/>
        <v>275777</v>
      </c>
      <c r="F12" s="7">
        <f t="shared" si="0"/>
        <v>314709</v>
      </c>
      <c r="G12" s="7">
        <f t="shared" si="0"/>
        <v>317831</v>
      </c>
      <c r="H12" s="7">
        <f t="shared" si="0"/>
        <v>426457</v>
      </c>
    </row>
    <row r="13" spans="2:8" s="2" customFormat="1" ht="11.25">
      <c r="B13" s="2" t="s">
        <v>13</v>
      </c>
      <c r="C13" s="7">
        <v>1053</v>
      </c>
      <c r="D13" s="7">
        <v>3100</v>
      </c>
      <c r="E13" s="7">
        <v>3296</v>
      </c>
      <c r="F13" s="7">
        <v>3130</v>
      </c>
      <c r="G13" s="7">
        <v>4452</v>
      </c>
      <c r="H13" s="7">
        <v>2905</v>
      </c>
    </row>
    <row r="14" spans="2:8" s="2" customFormat="1" ht="11.25">
      <c r="B14" s="2" t="s">
        <v>14</v>
      </c>
      <c r="C14" s="7">
        <v>248261</v>
      </c>
      <c r="D14" s="7">
        <v>293422</v>
      </c>
      <c r="E14" s="7">
        <v>272481</v>
      </c>
      <c r="F14" s="7">
        <v>311579</v>
      </c>
      <c r="G14" s="7">
        <v>313379</v>
      </c>
      <c r="H14" s="7">
        <v>423552</v>
      </c>
    </row>
    <row r="15" spans="1:8" s="2" customFormat="1" ht="11.25">
      <c r="A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s="2" customFormat="1" ht="11.25">
      <c r="A16" s="2" t="s">
        <v>16</v>
      </c>
      <c r="C16" s="7">
        <f aca="true" t="shared" si="1" ref="C16:H16">C17+C21</f>
        <v>266587</v>
      </c>
      <c r="D16" s="7">
        <f t="shared" si="1"/>
        <v>317458</v>
      </c>
      <c r="E16" s="7">
        <f t="shared" si="1"/>
        <v>279161</v>
      </c>
      <c r="F16" s="7">
        <f t="shared" si="1"/>
        <v>322612</v>
      </c>
      <c r="G16" s="7">
        <f t="shared" si="1"/>
        <v>334029</v>
      </c>
      <c r="H16" s="7">
        <f t="shared" si="1"/>
        <v>457667</v>
      </c>
    </row>
    <row r="17" spans="2:8" s="2" customFormat="1" ht="11.25">
      <c r="B17" s="2" t="s">
        <v>13</v>
      </c>
      <c r="C17" s="7">
        <f aca="true" t="shared" si="2" ref="C17:H17">SUM(C18:C20)</f>
        <v>3408</v>
      </c>
      <c r="D17" s="7">
        <f t="shared" si="2"/>
        <v>3153</v>
      </c>
      <c r="E17" s="7">
        <f t="shared" si="2"/>
        <v>2597</v>
      </c>
      <c r="F17" s="7">
        <f t="shared" si="2"/>
        <v>4389</v>
      </c>
      <c r="G17" s="7">
        <f t="shared" si="2"/>
        <v>5398</v>
      </c>
      <c r="H17" s="7">
        <f t="shared" si="2"/>
        <v>4156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3408</v>
      </c>
      <c r="D19" s="7">
        <v>3153</v>
      </c>
      <c r="E19" s="7">
        <v>2597</v>
      </c>
      <c r="F19" s="7">
        <v>4389</v>
      </c>
      <c r="G19" s="7">
        <v>5398</v>
      </c>
      <c r="H19" s="7">
        <v>4156</v>
      </c>
    </row>
    <row r="20" spans="2:8" s="2" customFormat="1" ht="11.25">
      <c r="B20" s="2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s="2" customFormat="1" ht="11.25">
      <c r="B21" s="2" t="s">
        <v>14</v>
      </c>
      <c r="C21" s="7">
        <f aca="true" t="shared" si="3" ref="C21:H21">SUM(C22:C23)</f>
        <v>263179</v>
      </c>
      <c r="D21" s="7">
        <f t="shared" si="3"/>
        <v>314305</v>
      </c>
      <c r="E21" s="7">
        <f t="shared" si="3"/>
        <v>276564</v>
      </c>
      <c r="F21" s="7">
        <f t="shared" si="3"/>
        <v>318223</v>
      </c>
      <c r="G21" s="7">
        <f t="shared" si="3"/>
        <v>328631</v>
      </c>
      <c r="H21" s="7">
        <f t="shared" si="3"/>
        <v>453511</v>
      </c>
    </row>
    <row r="22" spans="2:8" s="2" customFormat="1" ht="11.25">
      <c r="B22" s="2" t="s">
        <v>18</v>
      </c>
      <c r="C22" s="7">
        <v>26428</v>
      </c>
      <c r="D22" s="7">
        <v>29865</v>
      </c>
      <c r="E22" s="7">
        <v>12011</v>
      </c>
      <c r="F22" s="7">
        <v>16147</v>
      </c>
      <c r="G22" s="7">
        <v>22065</v>
      </c>
      <c r="H22" s="7">
        <v>29301</v>
      </c>
    </row>
    <row r="23" spans="2:8" s="2" customFormat="1" ht="11.25">
      <c r="B23" s="2" t="s">
        <v>19</v>
      </c>
      <c r="C23" s="7">
        <v>236751</v>
      </c>
      <c r="D23" s="7">
        <v>284440</v>
      </c>
      <c r="E23" s="7">
        <v>264553</v>
      </c>
      <c r="F23" s="7">
        <v>302076</v>
      </c>
      <c r="G23" s="7">
        <v>306566</v>
      </c>
      <c r="H23" s="7">
        <v>424210</v>
      </c>
    </row>
    <row r="24" spans="1:8" s="2" customFormat="1" ht="11.25">
      <c r="A24" s="3" t="s">
        <v>20</v>
      </c>
      <c r="B24" s="3"/>
      <c r="C24" s="8">
        <v>12586</v>
      </c>
      <c r="D24" s="8">
        <v>11989</v>
      </c>
      <c r="E24" s="8">
        <v>11359</v>
      </c>
      <c r="F24" s="8">
        <v>12575</v>
      </c>
      <c r="G24" s="8">
        <v>12100</v>
      </c>
      <c r="H24" s="8">
        <v>2732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(281407+348914)/2</f>
        <v>315160.5</v>
      </c>
      <c r="D26" s="7">
        <f>(D10+360227)/2</f>
        <v>346211</v>
      </c>
      <c r="E26" s="7">
        <f>(E10+345237)/2</f>
        <v>318889</v>
      </c>
      <c r="F26" s="7">
        <f>(F10+443075)/2</f>
        <v>390415</v>
      </c>
      <c r="G26" s="7">
        <f>(G10+H10)/2</f>
        <v>406629</v>
      </c>
      <c r="H26" s="7">
        <f>(H10+509474)/2</f>
        <v>486909</v>
      </c>
    </row>
    <row r="27" spans="1:8" s="2" customFormat="1" ht="11.25">
      <c r="A27" s="2" t="s">
        <v>22</v>
      </c>
      <c r="C27" s="7">
        <f aca="true" t="shared" si="4" ref="C27:H27">C28+C29</f>
        <v>283572.5</v>
      </c>
      <c r="D27" s="7">
        <f t="shared" si="4"/>
        <v>312292.5</v>
      </c>
      <c r="E27" s="7">
        <f t="shared" si="4"/>
        <v>300601</v>
      </c>
      <c r="F27" s="7">
        <f t="shared" si="4"/>
        <v>365310.5</v>
      </c>
      <c r="G27" s="7">
        <f t="shared" si="4"/>
        <v>372144</v>
      </c>
      <c r="H27" s="7">
        <f t="shared" si="4"/>
        <v>456164.5</v>
      </c>
    </row>
    <row r="28" spans="2:8" s="2" customFormat="1" ht="11.25">
      <c r="B28" s="2" t="s">
        <v>12</v>
      </c>
      <c r="C28" s="7">
        <f>(C12+G12)/2</f>
        <v>283572.5</v>
      </c>
      <c r="D28" s="7">
        <f>(D12+328063)/2</f>
        <v>312292.5</v>
      </c>
      <c r="E28" s="7">
        <f>(E12+325425)/2</f>
        <v>300601</v>
      </c>
      <c r="F28" s="7">
        <f>(F12+415912)/2</f>
        <v>365310.5</v>
      </c>
      <c r="G28" s="7">
        <f>(G12+H12)/2</f>
        <v>372144</v>
      </c>
      <c r="H28" s="7">
        <f>(426457+485872)/2</f>
        <v>456164.5</v>
      </c>
    </row>
    <row r="29" spans="2:8" s="2" customFormat="1" ht="11.25">
      <c r="B29" s="2" t="s">
        <v>15</v>
      </c>
      <c r="C29" s="7">
        <f>(C15+G15)/2</f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s="2" customFormat="1" ht="11.25">
      <c r="A30" s="3" t="s">
        <v>20</v>
      </c>
      <c r="B30" s="3"/>
      <c r="C30" s="8">
        <f>(C24+G24)/2</f>
        <v>12343</v>
      </c>
      <c r="D30" s="8">
        <f>(D24+11597)/2</f>
        <v>11793</v>
      </c>
      <c r="E30" s="8">
        <f>(E24+11094)/2</f>
        <v>11226.5</v>
      </c>
      <c r="F30" s="8">
        <f>(F24+2892)/2</f>
        <v>7733.5</v>
      </c>
      <c r="G30" s="8">
        <f>(G24+H24)/2</f>
        <v>7416</v>
      </c>
      <c r="H30" s="8">
        <f>(2732+3449)/2</f>
        <v>3090.5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4834+D32</f>
        <v>19721</v>
      </c>
      <c r="D32" s="7">
        <f>5157+E32</f>
        <v>14887</v>
      </c>
      <c r="E32" s="7">
        <f>4880+F32</f>
        <v>9730</v>
      </c>
      <c r="F32" s="7">
        <v>4850</v>
      </c>
      <c r="G32" s="7">
        <v>42632</v>
      </c>
      <c r="H32" s="7">
        <v>26458</v>
      </c>
    </row>
    <row r="33" spans="1:8" s="2" customFormat="1" ht="11.25">
      <c r="A33" s="2" t="s">
        <v>25</v>
      </c>
      <c r="C33" s="7">
        <f>4364+D33</f>
        <v>17910</v>
      </c>
      <c r="D33" s="7">
        <f>4630+E33</f>
        <v>13546</v>
      </c>
      <c r="E33" s="7">
        <f>4469+F33</f>
        <v>8916</v>
      </c>
      <c r="F33" s="7">
        <v>4447</v>
      </c>
      <c r="G33" s="7">
        <v>39444</v>
      </c>
      <c r="H33" s="7">
        <v>25540</v>
      </c>
    </row>
    <row r="34" spans="1:8" s="2" customFormat="1" ht="11.25">
      <c r="A34" s="2" t="s">
        <v>26</v>
      </c>
      <c r="C34" s="7">
        <f aca="true" t="shared" si="5" ref="C34:H34">C32-C33</f>
        <v>1811</v>
      </c>
      <c r="D34" s="7">
        <f t="shared" si="5"/>
        <v>1341</v>
      </c>
      <c r="E34" s="7">
        <f t="shared" si="5"/>
        <v>814</v>
      </c>
      <c r="F34" s="7">
        <f t="shared" si="5"/>
        <v>403</v>
      </c>
      <c r="G34" s="7">
        <f t="shared" si="5"/>
        <v>3188</v>
      </c>
      <c r="H34" s="7">
        <f t="shared" si="5"/>
        <v>918</v>
      </c>
    </row>
    <row r="35" spans="1:8" s="2" customFormat="1" ht="11.25">
      <c r="A35" s="2" t="s">
        <v>27</v>
      </c>
      <c r="C35" s="7">
        <f>349+D35</f>
        <v>1596</v>
      </c>
      <c r="D35" s="7">
        <f>339+E35</f>
        <v>1247</v>
      </c>
      <c r="E35" s="7">
        <f>419+F35</f>
        <v>908</v>
      </c>
      <c r="F35" s="7">
        <v>489</v>
      </c>
      <c r="G35" s="7">
        <v>1369</v>
      </c>
      <c r="H35" s="7">
        <v>1483</v>
      </c>
    </row>
    <row r="36" spans="1:8" s="2" customFormat="1" ht="11.25">
      <c r="A36" s="2" t="s">
        <v>28</v>
      </c>
      <c r="C36" s="7">
        <f aca="true" t="shared" si="6" ref="C36:H36">C34+C35</f>
        <v>3407</v>
      </c>
      <c r="D36" s="7">
        <f t="shared" si="6"/>
        <v>2588</v>
      </c>
      <c r="E36" s="7">
        <f t="shared" si="6"/>
        <v>1722</v>
      </c>
      <c r="F36" s="7">
        <f t="shared" si="6"/>
        <v>892</v>
      </c>
      <c r="G36" s="7">
        <f t="shared" si="6"/>
        <v>4557</v>
      </c>
      <c r="H36" s="7">
        <f t="shared" si="6"/>
        <v>2401</v>
      </c>
    </row>
    <row r="37" spans="1:8" s="2" customFormat="1" ht="11.25">
      <c r="A37" s="2" t="s">
        <v>29</v>
      </c>
      <c r="C37" s="7">
        <f>221+D37</f>
        <v>1112</v>
      </c>
      <c r="D37" s="7">
        <f>233+E37</f>
        <v>891</v>
      </c>
      <c r="E37" s="7">
        <f>244+F37</f>
        <v>658</v>
      </c>
      <c r="F37" s="7">
        <v>414</v>
      </c>
      <c r="G37" s="7">
        <v>2115</v>
      </c>
      <c r="H37" s="7">
        <v>1283</v>
      </c>
    </row>
    <row r="38" spans="1:8" s="2" customFormat="1" ht="11.25">
      <c r="A38" s="2" t="s">
        <v>30</v>
      </c>
      <c r="C38" s="7">
        <f aca="true" t="shared" si="7" ref="C38:H38">C36-C37</f>
        <v>2295</v>
      </c>
      <c r="D38" s="7">
        <f t="shared" si="7"/>
        <v>1697</v>
      </c>
      <c r="E38" s="7">
        <f t="shared" si="7"/>
        <v>1064</v>
      </c>
      <c r="F38" s="7">
        <f t="shared" si="7"/>
        <v>478</v>
      </c>
      <c r="G38" s="7">
        <f t="shared" si="7"/>
        <v>2442</v>
      </c>
      <c r="H38" s="7">
        <f t="shared" si="7"/>
        <v>1118</v>
      </c>
    </row>
    <row r="39" spans="1:8" s="2" customFormat="1" ht="11.25">
      <c r="A39" s="3" t="s">
        <v>31</v>
      </c>
      <c r="B39" s="3"/>
      <c r="C39" s="8">
        <f>598+D39</f>
        <v>2295</v>
      </c>
      <c r="D39" s="8">
        <f>633+E39</f>
        <v>1697</v>
      </c>
      <c r="E39" s="8">
        <f>586+F39</f>
        <v>1064</v>
      </c>
      <c r="F39" s="8">
        <v>478</v>
      </c>
      <c r="G39" s="8">
        <v>2442</v>
      </c>
      <c r="H39" s="8">
        <v>576</v>
      </c>
    </row>
    <row r="40" spans="1:8" s="2" customFormat="1" ht="11.25">
      <c r="A40" s="5" t="s">
        <v>32</v>
      </c>
      <c r="C40" s="7"/>
      <c r="D40" s="7"/>
      <c r="E40" s="7"/>
      <c r="F40" s="7"/>
      <c r="G40" s="7"/>
      <c r="H40" s="7"/>
    </row>
    <row r="41" spans="1:8" s="2" customFormat="1" ht="11.25">
      <c r="A41" s="2" t="s">
        <v>33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s="2" customFormat="1" ht="11.25">
      <c r="A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s="2" customFormat="1" ht="11.25">
      <c r="A43" s="2" t="s">
        <v>35</v>
      </c>
      <c r="C43" s="9">
        <f aca="true" t="shared" si="8" ref="C43:H43">C41/C12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s="2" customFormat="1" ht="11.25">
      <c r="A44" s="2" t="s">
        <v>36</v>
      </c>
      <c r="C44" s="9">
        <f aca="true" t="shared" si="9" ref="C44:H44">(C42)/C12</f>
        <v>0</v>
      </c>
      <c r="D44" s="9">
        <f t="shared" si="9"/>
        <v>0</v>
      </c>
      <c r="E44" s="9">
        <f t="shared" si="9"/>
        <v>0</v>
      </c>
      <c r="F44" s="9">
        <f t="shared" si="9"/>
        <v>0</v>
      </c>
      <c r="G44" s="9">
        <f t="shared" si="9"/>
        <v>0</v>
      </c>
      <c r="H44" s="9">
        <f t="shared" si="9"/>
        <v>0</v>
      </c>
    </row>
    <row r="45" spans="1:8" s="2" customFormat="1" ht="11.25">
      <c r="A45" s="10" t="s">
        <v>37</v>
      </c>
      <c r="C45" s="9">
        <f aca="true" t="shared" si="10" ref="C45:H45">(C41+C42)/C12</f>
        <v>0</v>
      </c>
      <c r="D45" s="9">
        <f t="shared" si="10"/>
        <v>0</v>
      </c>
      <c r="E45" s="9">
        <f t="shared" si="10"/>
        <v>0</v>
      </c>
      <c r="F45" s="9">
        <f t="shared" si="10"/>
        <v>0</v>
      </c>
      <c r="G45" s="9">
        <f t="shared" si="10"/>
        <v>0</v>
      </c>
      <c r="H45" s="9">
        <f t="shared" si="10"/>
        <v>0</v>
      </c>
    </row>
    <row r="46" spans="1:8" s="2" customFormat="1" ht="11.25">
      <c r="A46" s="2" t="s">
        <v>38</v>
      </c>
      <c r="C46" s="9">
        <v>0.0001</v>
      </c>
      <c r="D46" s="9">
        <v>0.0001</v>
      </c>
      <c r="E46" s="9">
        <v>0.0001</v>
      </c>
      <c r="F46" s="9">
        <v>0.0001</v>
      </c>
      <c r="G46" s="9">
        <v>0.0001</v>
      </c>
      <c r="H46" s="9">
        <f>(27/H12)</f>
        <v>6.33123620904335E-05</v>
      </c>
    </row>
    <row r="47" spans="1:8" s="2" customFormat="1" ht="11.25">
      <c r="A47" s="3" t="s">
        <v>39</v>
      </c>
      <c r="B47" s="3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0.05048252404598218</v>
      </c>
      <c r="D49" s="9">
        <f t="shared" si="11"/>
        <v>0.040432075866208915</v>
      </c>
      <c r="E49" s="9">
        <f t="shared" si="11"/>
        <v>0.041189076681521664</v>
      </c>
      <c r="F49" s="9">
        <f t="shared" si="11"/>
        <v>0.039957548084103095</v>
      </c>
      <c r="G49" s="9">
        <f t="shared" si="11"/>
        <v>0.03807054692588199</v>
      </c>
      <c r="H49" s="9">
        <f t="shared" si="11"/>
        <v>0.006406273082632012</v>
      </c>
    </row>
    <row r="50" spans="1:8" s="2" customFormat="1" ht="11.25">
      <c r="A50" s="3" t="s">
        <v>42</v>
      </c>
      <c r="B50" s="3"/>
      <c r="C50" s="11">
        <f aca="true" t="shared" si="12" ref="C50:H50">C24/C10</f>
        <v>0.044725255590656945</v>
      </c>
      <c r="D50" s="11">
        <f t="shared" si="12"/>
        <v>0.036090248197594786</v>
      </c>
      <c r="E50" s="11">
        <f t="shared" si="12"/>
        <v>0.03882874537244352</v>
      </c>
      <c r="F50" s="11">
        <f t="shared" si="12"/>
        <v>0.03723112907284866</v>
      </c>
      <c r="G50" s="11">
        <f t="shared" si="12"/>
        <v>0.03467903265561141</v>
      </c>
      <c r="H50" s="11">
        <f t="shared" si="12"/>
        <v>0.0058835690780972725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0.11060929452673986</v>
      </c>
      <c r="D52" s="12">
        <f t="shared" si="13"/>
        <v>0.10229384674508124</v>
      </c>
      <c r="E52" s="12">
        <f t="shared" si="13"/>
        <v>0.05163686904689409</v>
      </c>
      <c r="F52" s="12">
        <f t="shared" si="13"/>
        <v>0.06229464496050984</v>
      </c>
      <c r="G52" s="12">
        <f t="shared" si="13"/>
        <v>0.08290298147765614</v>
      </c>
      <c r="H52" s="12">
        <f t="shared" si="13"/>
        <v>0.0729089053831716</v>
      </c>
    </row>
    <row r="53" spans="1:8" s="2" customFormat="1" ht="11.25">
      <c r="A53" s="2" t="s">
        <v>45</v>
      </c>
      <c r="C53" s="12">
        <f aca="true" t="shared" si="14" ref="C53:H53">C11/C10</f>
        <v>0.10478417381230744</v>
      </c>
      <c r="D53" s="12">
        <f t="shared" si="14"/>
        <v>0.0977558361805566</v>
      </c>
      <c r="E53" s="12">
        <f t="shared" si="14"/>
        <v>0.04927514433874226</v>
      </c>
      <c r="F53" s="12">
        <f t="shared" si="14"/>
        <v>0.059501709819247676</v>
      </c>
      <c r="G53" s="12">
        <f t="shared" si="14"/>
        <v>0.07936626217348687</v>
      </c>
      <c r="H53" s="12">
        <f t="shared" si="14"/>
        <v>0.07186051720276347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0.11060929452673986</v>
      </c>
      <c r="D54" s="13">
        <f t="shared" si="15"/>
        <v>0.10229384674508124</v>
      </c>
      <c r="E54" s="13">
        <f t="shared" si="15"/>
        <v>0.05163686904689409</v>
      </c>
      <c r="F54" s="13">
        <f t="shared" si="15"/>
        <v>0.06229464496050984</v>
      </c>
      <c r="G54" s="13">
        <f t="shared" si="15"/>
        <v>0.08290298147765614</v>
      </c>
      <c r="H54" s="13">
        <f t="shared" si="15"/>
        <v>0.0729089053831716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0.008093168413721359</v>
      </c>
      <c r="D56" s="9">
        <f>(D39/0.75)/D27</f>
        <v>0.007245344241909961</v>
      </c>
      <c r="E56" s="9">
        <f>(E39/0.5)/E27</f>
        <v>0.007079151433295299</v>
      </c>
      <c r="F56" s="9">
        <f>((F39)/0.25)/F27</f>
        <v>0.005233903761320849</v>
      </c>
      <c r="G56" s="9">
        <f>G39/G27</f>
        <v>0.006561976009286727</v>
      </c>
      <c r="H56" s="9">
        <f>H39/H27</f>
        <v>0.0012627023803912843</v>
      </c>
    </row>
    <row r="57" spans="1:8" s="2" customFormat="1" ht="11.25">
      <c r="A57" s="2" t="s">
        <v>49</v>
      </c>
      <c r="C57" s="9">
        <f>C39/C26</f>
        <v>0.007282003931330227</v>
      </c>
      <c r="D57" s="9">
        <f>(D39/0.75)/D26</f>
        <v>0.00653551350669582</v>
      </c>
      <c r="E57" s="9">
        <f>(E39/0.5)/E26</f>
        <v>0.006673168406561531</v>
      </c>
      <c r="F57" s="9">
        <f>((F39)/0.25)/F26</f>
        <v>0.004897352816874352</v>
      </c>
      <c r="G57" s="9">
        <f>G39/G26</f>
        <v>0.0060054742775355425</v>
      </c>
      <c r="H57" s="9">
        <f>H39/H26</f>
        <v>0.0011829725883070552</v>
      </c>
    </row>
    <row r="58" spans="1:8" s="2" customFormat="1" ht="11.25">
      <c r="A58" s="2" t="s">
        <v>50</v>
      </c>
      <c r="C58" s="9">
        <f>C39/C30</f>
        <v>0.1859353479705096</v>
      </c>
      <c r="D58" s="9">
        <f>(D39/0.75)/D30</f>
        <v>0.19186523078662482</v>
      </c>
      <c r="E58" s="9">
        <f>(E39/0.5)/E30</f>
        <v>0.18955150759364006</v>
      </c>
      <c r="F58" s="9">
        <f>((F39)/0.25)/F30</f>
        <v>0.24723605094717785</v>
      </c>
      <c r="G58" s="9">
        <f>G39/G30</f>
        <v>0.32928802588996764</v>
      </c>
      <c r="H58" s="9">
        <f>H39/H30</f>
        <v>0.18637760880116486</v>
      </c>
    </row>
    <row r="59" spans="1:8" s="2" customFormat="1" ht="11.25">
      <c r="A59" s="2" t="s">
        <v>51</v>
      </c>
      <c r="C59" s="9">
        <f>C32/C26</f>
        <v>0.0625744660260407</v>
      </c>
      <c r="D59" s="9">
        <f>(D32/0.75)/D26</f>
        <v>0.05733305219456728</v>
      </c>
      <c r="E59" s="9">
        <f>(E32/0.5)/E26</f>
        <v>0.06102436898105611</v>
      </c>
      <c r="F59" s="9">
        <f>((F32)/0.25)/F26</f>
        <v>0.04969071372770001</v>
      </c>
      <c r="G59" s="9">
        <f>G32/G26</f>
        <v>0.1048424977067548</v>
      </c>
      <c r="H59" s="9">
        <f>H32/H26</f>
        <v>0.05433869573164595</v>
      </c>
    </row>
    <row r="60" spans="1:8" s="2" customFormat="1" ht="11.25">
      <c r="A60" s="2" t="s">
        <v>52</v>
      </c>
      <c r="C60" s="9">
        <f>C33/C26</f>
        <v>0.05682818754253785</v>
      </c>
      <c r="D60" s="9">
        <f>(D33/0.75)/D26</f>
        <v>0.05216857157436746</v>
      </c>
      <c r="E60" s="9">
        <f>(E33/0.5)/E26</f>
        <v>0.055919144279043806</v>
      </c>
      <c r="F60" s="9">
        <f>((F33)/0.25)/F26</f>
        <v>0.045561774009707616</v>
      </c>
      <c r="G60" s="9">
        <f>G33/G26</f>
        <v>0.09700242727400162</v>
      </c>
      <c r="H60" s="9">
        <f>H33/H26</f>
        <v>0.052453333169031585</v>
      </c>
    </row>
    <row r="61" spans="1:8" s="2" customFormat="1" ht="11.25">
      <c r="A61" s="2" t="s">
        <v>53</v>
      </c>
      <c r="C61" s="9">
        <f>C34/C26</f>
        <v>0.00574627848350285</v>
      </c>
      <c r="D61" s="9">
        <f>(D34)/0.75/D26</f>
        <v>0.00516448062019982</v>
      </c>
      <c r="E61" s="9">
        <f>(E34/0.5)/E26</f>
        <v>0.005105224702012299</v>
      </c>
      <c r="F61" s="9">
        <f>((F34)/0.25)/F26</f>
        <v>0.004128939717992393</v>
      </c>
      <c r="G61" s="9">
        <f>G34/G26</f>
        <v>0.007840070432753197</v>
      </c>
      <c r="H61" s="9">
        <f>H34/H26</f>
        <v>0.0018853625626143694</v>
      </c>
    </row>
    <row r="62" spans="1:8" s="2" customFormat="1" ht="11.25">
      <c r="A62" s="2" t="s">
        <v>54</v>
      </c>
      <c r="C62" s="9">
        <f>C37/C36</f>
        <v>0.32638685060170236</v>
      </c>
      <c r="D62" s="9">
        <f>(D37/0.75)/(D36/0.75)</f>
        <v>0.34428129829984544</v>
      </c>
      <c r="E62" s="9">
        <f>(E37/0.5)/(E36/0.5)</f>
        <v>0.3821138211382114</v>
      </c>
      <c r="F62" s="9">
        <f>(F37/0.25)/(F36/0.25)</f>
        <v>0.4641255605381166</v>
      </c>
      <c r="G62" s="9">
        <f>G37/G36</f>
        <v>0.4641211323238973</v>
      </c>
      <c r="H62" s="9">
        <f>H37/H36</f>
        <v>0.5343606830487297</v>
      </c>
    </row>
    <row r="63" spans="1:8" s="2" customFormat="1" ht="11.25">
      <c r="A63" s="3" t="s">
        <v>55</v>
      </c>
      <c r="B63" s="3"/>
      <c r="C63" s="11">
        <f>C35/C26</f>
        <v>0.0050640863940754</v>
      </c>
      <c r="D63" s="11">
        <f>(D35/0.75)/D26</f>
        <v>0.004802466318709304</v>
      </c>
      <c r="E63" s="11">
        <f>(E35/0.5)/E26</f>
        <v>0.00569477153492281</v>
      </c>
      <c r="F63" s="11">
        <f>(F35/0.25)/F26</f>
        <v>0.005010053404710372</v>
      </c>
      <c r="G63" s="11">
        <f>G35/G26</f>
        <v>0.0033667052768002284</v>
      </c>
      <c r="H63" s="11">
        <f>H35/H26</f>
        <v>0.0030457436605197275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16</v>
      </c>
      <c r="D65" s="7">
        <v>16</v>
      </c>
      <c r="E65" s="7">
        <v>16</v>
      </c>
      <c r="F65" s="7">
        <v>17</v>
      </c>
      <c r="G65" s="7">
        <v>18</v>
      </c>
      <c r="H65" s="7">
        <v>17</v>
      </c>
    </row>
    <row r="66" spans="1:8" s="2" customFormat="1" ht="11.25">
      <c r="A66" s="2" t="s">
        <v>58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s="2" customFormat="1" ht="11.25">
      <c r="A67" s="2" t="s">
        <v>59</v>
      </c>
      <c r="C67" s="7">
        <f aca="true" t="shared" si="16" ref="C67:H67">C12/C65</f>
        <v>15582.125</v>
      </c>
      <c r="D67" s="7">
        <f t="shared" si="16"/>
        <v>18532.625</v>
      </c>
      <c r="E67" s="7">
        <f t="shared" si="16"/>
        <v>17236.0625</v>
      </c>
      <c r="F67" s="7">
        <f t="shared" si="16"/>
        <v>18512.29411764706</v>
      </c>
      <c r="G67" s="7">
        <f t="shared" si="16"/>
        <v>17657.277777777777</v>
      </c>
      <c r="H67" s="7">
        <f t="shared" si="16"/>
        <v>25085.70588235294</v>
      </c>
    </row>
    <row r="68" spans="1:8" s="2" customFormat="1" ht="11.25">
      <c r="A68" s="2" t="s">
        <v>60</v>
      </c>
      <c r="C68" s="7">
        <f aca="true" t="shared" si="17" ref="C68:H68">C16/C65</f>
        <v>16661.6875</v>
      </c>
      <c r="D68" s="7">
        <f t="shared" si="17"/>
        <v>19841.125</v>
      </c>
      <c r="E68" s="7">
        <f t="shared" si="17"/>
        <v>17447.5625</v>
      </c>
      <c r="F68" s="7">
        <f t="shared" si="17"/>
        <v>18977.176470588234</v>
      </c>
      <c r="G68" s="7">
        <f t="shared" si="17"/>
        <v>18557.166666666668</v>
      </c>
      <c r="H68" s="7">
        <f t="shared" si="17"/>
        <v>26921.58823529412</v>
      </c>
    </row>
    <row r="69" spans="1:8" s="2" customFormat="1" ht="11.25">
      <c r="A69" s="3" t="s">
        <v>61</v>
      </c>
      <c r="B69" s="3"/>
      <c r="C69" s="8">
        <f aca="true" t="shared" si="18" ref="C69:H69">(C39/C65)</f>
        <v>143.4375</v>
      </c>
      <c r="D69" s="8">
        <f t="shared" si="18"/>
        <v>106.0625</v>
      </c>
      <c r="E69" s="8">
        <f t="shared" si="18"/>
        <v>66.5</v>
      </c>
      <c r="F69" s="8">
        <f t="shared" si="18"/>
        <v>28.11764705882353</v>
      </c>
      <c r="G69" s="8">
        <f t="shared" si="18"/>
        <v>135.66666666666666</v>
      </c>
      <c r="H69" s="8">
        <f t="shared" si="18"/>
        <v>33.88235294117647</v>
      </c>
    </row>
    <row r="70" s="2" customFormat="1" ht="11.25">
      <c r="A70" s="5" t="s">
        <v>62</v>
      </c>
    </row>
    <row r="71" spans="1:8" s="2" customFormat="1" ht="11.25">
      <c r="A71" s="2" t="s">
        <v>63</v>
      </c>
      <c r="C71" s="9">
        <f>(C10/G10)-1</f>
        <v>-0.19347747582498842</v>
      </c>
      <c r="D71" s="9">
        <f>(D10/360227)-1</f>
        <v>-0.07781759834770852</v>
      </c>
      <c r="E71" s="9">
        <f>(E10/345237)-1</f>
        <v>-0.15263717388344822</v>
      </c>
      <c r="F71" s="9">
        <f>(F10/443075)-1</f>
        <v>-0.23770242058342272</v>
      </c>
      <c r="G71" s="9">
        <f>(G10/H10)-1</f>
        <v>-0.24858725427700157</v>
      </c>
      <c r="H71" s="9">
        <f>(H10/509474)-1</f>
        <v>-0.08858155666432443</v>
      </c>
    </row>
    <row r="72" spans="1:8" s="2" customFormat="1" ht="11.25">
      <c r="A72" s="2" t="s">
        <v>64</v>
      </c>
      <c r="C72" s="9">
        <f>(C12/G12)-1</f>
        <v>-0.215576831712451</v>
      </c>
      <c r="D72" s="9">
        <f>D12/328063-1</f>
        <v>-0.09614311885217164</v>
      </c>
      <c r="E72" s="9">
        <f>E12/325425-1</f>
        <v>-0.15256357071521853</v>
      </c>
      <c r="F72" s="9">
        <f>F12/415912-1</f>
        <v>-0.24332791552059085</v>
      </c>
      <c r="G72" s="9">
        <f>(G12/H12)-1</f>
        <v>-0.25471735720131217</v>
      </c>
      <c r="H72" s="9">
        <f>H12/485872-1</f>
        <v>-0.12228529324595783</v>
      </c>
    </row>
    <row r="73" spans="2:8" s="2" customFormat="1" ht="11.25">
      <c r="B73" s="2" t="s">
        <v>13</v>
      </c>
      <c r="C73" s="9">
        <f>(C13/G13)-1</f>
        <v>-0.7634770889487871</v>
      </c>
      <c r="D73" s="9">
        <f>(D13/4409)-1</f>
        <v>-0.29689271943751416</v>
      </c>
      <c r="E73" s="9">
        <f>(E13/3967)-1</f>
        <v>-0.16914544996218805</v>
      </c>
      <c r="F73" s="9">
        <f>(F13/3498)-1</f>
        <v>-0.10520297312750138</v>
      </c>
      <c r="G73" s="9">
        <f>(G13/H13)-1</f>
        <v>0.5325301204819277</v>
      </c>
      <c r="H73" s="9">
        <f>(H13/5362)-1</f>
        <v>-0.45822454308093996</v>
      </c>
    </row>
    <row r="74" spans="2:8" s="2" customFormat="1" ht="11.25">
      <c r="B74" s="2" t="s">
        <v>14</v>
      </c>
      <c r="C74" s="9">
        <f>(C14/G14)-1</f>
        <v>-0.2077931195134326</v>
      </c>
      <c r="D74" s="9">
        <f>(D14/323654)-1</f>
        <v>-0.09340839291341985</v>
      </c>
      <c r="E74" s="9">
        <f>(E14/321459)-1</f>
        <v>-0.15236157643743053</v>
      </c>
      <c r="F74" s="9">
        <f>(F14/412414)-1</f>
        <v>-0.24449945928120775</v>
      </c>
      <c r="G74" s="9">
        <f>(G14/H14)-1</f>
        <v>-0.2601168215472952</v>
      </c>
      <c r="H74" s="9">
        <f>(H14/480510)-1</f>
        <v>-0.11853655491040771</v>
      </c>
    </row>
    <row r="75" spans="1:8" s="2" customFormat="1" ht="11.25">
      <c r="A75" s="2" t="s">
        <v>65</v>
      </c>
      <c r="C75" s="9">
        <f>(C16/G16)-1</f>
        <v>-0.20190462504752582</v>
      </c>
      <c r="D75" s="9">
        <f>D16/345686-1</f>
        <v>-0.08165792077203016</v>
      </c>
      <c r="E75" s="9">
        <f>E16/331849-1</f>
        <v>-0.15877100729548677</v>
      </c>
      <c r="F75" s="9">
        <f>F16/436517-1</f>
        <v>-0.2609405819246444</v>
      </c>
      <c r="G75" s="9">
        <f>(G16/H16)-1</f>
        <v>-0.27014838299462274</v>
      </c>
      <c r="H75" s="9">
        <f>H16/501147-1</f>
        <v>-0.08676097033405372</v>
      </c>
    </row>
    <row r="76" spans="2:8" s="2" customFormat="1" ht="11.25">
      <c r="B76" s="2" t="s">
        <v>13</v>
      </c>
      <c r="C76" s="9">
        <f>(C17/G17)-1</f>
        <v>-0.3686550574286773</v>
      </c>
      <c r="D76" s="9">
        <f>(D17/2733)-1</f>
        <v>0.15367727771679474</v>
      </c>
      <c r="E76" s="9">
        <f>(E17/4948)-1</f>
        <v>-0.47514147130153594</v>
      </c>
      <c r="F76" s="9">
        <f>(F17/4396)-1</f>
        <v>-0.0015923566878981443</v>
      </c>
      <c r="G76" s="9">
        <f>(G17/H17)-1</f>
        <v>0.2988450433108758</v>
      </c>
      <c r="H76" s="9">
        <f>(H17/5750)-1</f>
        <v>-0.27721739130434786</v>
      </c>
    </row>
    <row r="77" spans="2:8" s="2" customFormat="1" ht="11.25">
      <c r="B77" s="2" t="s">
        <v>14</v>
      </c>
      <c r="C77" s="9">
        <f>(C21/G21)-1</f>
        <v>-0.19916562953586237</v>
      </c>
      <c r="D77" s="9">
        <f>(D21/342952)-1</f>
        <v>-0.08353063985630638</v>
      </c>
      <c r="E77" s="9">
        <f>(E21/326901)-1</f>
        <v>-0.1539823983407821</v>
      </c>
      <c r="F77" s="9">
        <f>(F21/432120)-1</f>
        <v>-0.2635772470610016</v>
      </c>
      <c r="G77" s="9">
        <f>(G21/H21)-1</f>
        <v>-0.2753626703652171</v>
      </c>
      <c r="H77" s="9">
        <f>(H21/495398)-1</f>
        <v>-0.08455221862018014</v>
      </c>
    </row>
    <row r="78" spans="1:8" s="2" customFormat="1" ht="11.25">
      <c r="A78" s="2" t="s">
        <v>66</v>
      </c>
      <c r="C78" s="9">
        <f>(C24/G24)-1</f>
        <v>0.04016528925619833</v>
      </c>
      <c r="D78" s="9">
        <f>(D24/11597)-1</f>
        <v>0.03380184530482011</v>
      </c>
      <c r="E78" s="9">
        <f>(E24/11094)-1</f>
        <v>0.023886785649900766</v>
      </c>
      <c r="F78" s="9">
        <f>(F24/2892)-1</f>
        <v>3.34820193637621</v>
      </c>
      <c r="G78" s="9">
        <f>(G24/H24)-1</f>
        <v>3.4289897510980962</v>
      </c>
      <c r="H78" s="9">
        <f>(H24/3449)-1</f>
        <v>-0.20788634386778782</v>
      </c>
    </row>
    <row r="79" spans="1:8" s="2" customFormat="1" ht="11.25">
      <c r="A79" s="3" t="s">
        <v>67</v>
      </c>
      <c r="B79" s="3"/>
      <c r="C79" s="11">
        <f>(C38/G38)-1</f>
        <v>-0.06019656019656017</v>
      </c>
      <c r="D79" s="11">
        <f>(D38/1938)-1</f>
        <v>-0.12435500515995868</v>
      </c>
      <c r="E79" s="11">
        <f>(E38/1439)-1</f>
        <v>-0.26059763724808893</v>
      </c>
      <c r="F79" s="11">
        <f>(F38/1118)-1</f>
        <v>-0.5724508050089445</v>
      </c>
      <c r="G79" s="11">
        <f>(G38/H38)-1</f>
        <v>1.184257602862254</v>
      </c>
      <c r="H79" s="11">
        <f>(H38/2128)-1</f>
        <v>-0.47462406015037595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2002-05-02T15:32:08Z</cp:lastPrinted>
  <dcterms:created xsi:type="dcterms:W3CDTF">2002-03-08T14:24:52Z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