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okyo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<sst xmlns="http://schemas.openxmlformats.org/spreadsheetml/2006/main" count="80" uniqueCount="68">
  <si>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18-41    THE BANK OF TOKYO-MITSUBICHI, LTD.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</si>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</sst>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11.421875" defaultRowHeight="12.75"/>
  <cols>
    <col min="1" max="1" width="3.57421875" style="1" customWidth="1"/>
    <col min="2" max="2" width="33.421875" style="1" customWidth="1"/>
    <col min="3" max="3" width="11.421875" style="1" customWidth="1"/>
    <col min="4" max="4" width="9.7109375" style="1" customWidth="1"/>
    <col min="5" max="5" width="9.00390625" style="1" customWidth="1"/>
    <col min="6" max="6" width="9.7109375" style="1" customWidth="1"/>
    <col min="7" max="8" width="10.8515625" style="1" customWidth="1"/>
    <col min="9" max="16384" width="11.421875" style="1" customWidth="1"/>
  </cols>
  <sheetData>
    <row r="1" spans="2:8" s="2" customFormat="1" ht="11.25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15"/>
      <c r="B6" s="15"/>
      <c r="C6" s="15"/>
      <c r="D6" s="15"/>
      <c r="E6" s="15"/>
      <c r="F6" s="15"/>
      <c r="G6" s="15"/>
      <c r="H6" s="15"/>
    </row>
    <row r="7" spans="1:8" s="2" customFormat="1" ht="11.25">
      <c r="A7" s="3"/>
      <c r="B7" s="3"/>
      <c r="C7" s="3"/>
      <c r="D7" s="3"/>
      <c r="E7" s="3"/>
      <c r="F7" s="3"/>
      <c r="G7" s="3"/>
      <c r="H7" s="3"/>
    </row>
    <row r="8" spans="1:8" s="2" customFormat="1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s="2" customFormat="1" ht="11.25">
      <c r="A9" s="5" t="s">
        <v>9</v>
      </c>
      <c r="B9" s="5"/>
      <c r="C9" s="6"/>
      <c r="D9" s="6"/>
      <c r="E9" s="6"/>
      <c r="F9" s="6"/>
      <c r="G9" s="6"/>
      <c r="H9" s="6"/>
    </row>
    <row r="10" spans="1:8" s="2" customFormat="1" ht="11.25">
      <c r="A10" s="2" t="s">
        <v>10</v>
      </c>
      <c r="C10" s="7">
        <v>1023440</v>
      </c>
      <c r="D10" s="7">
        <v>849129</v>
      </c>
      <c r="E10" s="7">
        <v>1036458</v>
      </c>
      <c r="F10" s="7">
        <v>1021354</v>
      </c>
      <c r="G10" s="7">
        <v>1259929</v>
      </c>
      <c r="H10" s="7">
        <v>1446090</v>
      </c>
    </row>
    <row r="11" spans="1:8" s="2" customFormat="1" ht="11.25">
      <c r="A11" s="2" t="s">
        <v>11</v>
      </c>
      <c r="C11" s="7">
        <v>350661</v>
      </c>
      <c r="D11" s="7">
        <v>205534</v>
      </c>
      <c r="E11" s="7">
        <v>165378</v>
      </c>
      <c r="F11" s="7">
        <v>165118</v>
      </c>
      <c r="G11" s="7">
        <v>181699</v>
      </c>
      <c r="H11" s="7">
        <v>58518</v>
      </c>
    </row>
    <row r="12" spans="1:8" s="2" customFormat="1" ht="11.25">
      <c r="A12" s="2" t="s">
        <v>12</v>
      </c>
      <c r="C12" s="7">
        <f aca="true" t="shared" si="0" ref="C12:H12">C13+C14</f>
        <v>654497</v>
      </c>
      <c r="D12" s="7">
        <f t="shared" si="0"/>
        <v>626207</v>
      </c>
      <c r="E12" s="7">
        <f t="shared" si="0"/>
        <v>850386</v>
      </c>
      <c r="F12" s="7">
        <f t="shared" si="0"/>
        <v>834400</v>
      </c>
      <c r="G12" s="7">
        <f t="shared" si="0"/>
        <v>1054288</v>
      </c>
      <c r="H12" s="7">
        <f t="shared" si="0"/>
        <v>1357582</v>
      </c>
    </row>
    <row r="13" spans="2:8" s="2" customFormat="1" ht="11.25">
      <c r="B13" s="2" t="s">
        <v>13</v>
      </c>
      <c r="C13" s="7">
        <v>5772</v>
      </c>
      <c r="D13" s="7">
        <v>9553</v>
      </c>
      <c r="E13" s="7">
        <v>10871</v>
      </c>
      <c r="F13" s="7">
        <v>13896</v>
      </c>
      <c r="G13" s="7">
        <v>27646</v>
      </c>
      <c r="H13" s="7">
        <v>41934</v>
      </c>
    </row>
    <row r="14" spans="2:8" s="2" customFormat="1" ht="11.25">
      <c r="B14" s="2" t="s">
        <v>14</v>
      </c>
      <c r="C14" s="7">
        <v>648725</v>
      </c>
      <c r="D14" s="7">
        <v>616654</v>
      </c>
      <c r="E14" s="7">
        <v>839515</v>
      </c>
      <c r="F14" s="7">
        <v>820504</v>
      </c>
      <c r="G14" s="7">
        <v>1026642</v>
      </c>
      <c r="H14" s="7">
        <v>1315648</v>
      </c>
    </row>
    <row r="15" spans="1:8" s="2" customFormat="1" ht="11.25">
      <c r="A15" s="2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s="2" customFormat="1" ht="11.25">
      <c r="A16" s="2" t="s">
        <v>16</v>
      </c>
      <c r="C16" s="7">
        <f aca="true" t="shared" si="1" ref="C16:H16">C17+C21</f>
        <v>991391</v>
      </c>
      <c r="D16" s="7">
        <f t="shared" si="1"/>
        <v>819596</v>
      </c>
      <c r="E16" s="7">
        <f t="shared" si="1"/>
        <v>1003324</v>
      </c>
      <c r="F16" s="7">
        <f t="shared" si="1"/>
        <v>985510</v>
      </c>
      <c r="G16" s="7">
        <f t="shared" si="1"/>
        <v>1223562</v>
      </c>
      <c r="H16" s="7">
        <f t="shared" si="1"/>
        <v>1408017</v>
      </c>
    </row>
    <row r="17" spans="2:8" s="2" customFormat="1" ht="11.25">
      <c r="B17" s="2" t="s">
        <v>13</v>
      </c>
      <c r="C17" s="7">
        <f aca="true" t="shared" si="2" ref="C17:H17">SUM(C18:C20)</f>
        <v>43985</v>
      </c>
      <c r="D17" s="7">
        <f t="shared" si="2"/>
        <v>11809</v>
      </c>
      <c r="E17" s="7">
        <f t="shared" si="2"/>
        <v>7897</v>
      </c>
      <c r="F17" s="7">
        <f t="shared" si="2"/>
        <v>15715</v>
      </c>
      <c r="G17" s="7">
        <f t="shared" si="2"/>
        <v>14366</v>
      </c>
      <c r="H17" s="7">
        <f t="shared" si="2"/>
        <v>11498</v>
      </c>
    </row>
    <row r="18" spans="2:8" s="2" customFormat="1" ht="11.25">
      <c r="B18" s="2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s="2" customFormat="1" ht="11.25">
      <c r="B19" s="2" t="s">
        <v>18</v>
      </c>
      <c r="C19" s="7">
        <v>14449</v>
      </c>
      <c r="D19" s="7">
        <v>11809</v>
      </c>
      <c r="E19" s="7">
        <v>7897</v>
      </c>
      <c r="F19" s="7">
        <v>15715</v>
      </c>
      <c r="G19" s="7">
        <v>14366</v>
      </c>
      <c r="H19" s="7">
        <v>11498</v>
      </c>
    </row>
    <row r="20" spans="2:8" s="2" customFormat="1" ht="11.25">
      <c r="B20" s="2" t="s">
        <v>19</v>
      </c>
      <c r="C20" s="7">
        <f>43985-C19</f>
        <v>29536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s="2" customFormat="1" ht="11.25">
      <c r="B21" s="2" t="s">
        <v>14</v>
      </c>
      <c r="C21" s="7">
        <f aca="true" t="shared" si="3" ref="C21:H21">SUM(C22:C23)</f>
        <v>947406</v>
      </c>
      <c r="D21" s="7">
        <f t="shared" si="3"/>
        <v>807787</v>
      </c>
      <c r="E21" s="7">
        <f t="shared" si="3"/>
        <v>995427</v>
      </c>
      <c r="F21" s="7">
        <f t="shared" si="3"/>
        <v>969795</v>
      </c>
      <c r="G21" s="7">
        <f t="shared" si="3"/>
        <v>1209196</v>
      </c>
      <c r="H21" s="7">
        <f t="shared" si="3"/>
        <v>1396519</v>
      </c>
    </row>
    <row r="22" spans="2:8" s="2" customFormat="1" ht="11.25">
      <c r="B22" s="2" t="s">
        <v>18</v>
      </c>
      <c r="C22" s="7">
        <v>107280</v>
      </c>
      <c r="D22" s="7">
        <v>70413</v>
      </c>
      <c r="E22" s="7">
        <v>56163</v>
      </c>
      <c r="F22" s="7">
        <v>105210</v>
      </c>
      <c r="G22" s="7">
        <v>45440</v>
      </c>
      <c r="H22" s="7">
        <v>55841</v>
      </c>
    </row>
    <row r="23" spans="2:8" s="2" customFormat="1" ht="11.25">
      <c r="B23" s="2" t="s">
        <v>19</v>
      </c>
      <c r="C23" s="7">
        <f>947406-C22</f>
        <v>840126</v>
      </c>
      <c r="D23" s="7">
        <v>737374</v>
      </c>
      <c r="E23" s="7">
        <v>939264</v>
      </c>
      <c r="F23" s="7">
        <v>864585</v>
      </c>
      <c r="G23" s="7">
        <v>1163756</v>
      </c>
      <c r="H23" s="7">
        <v>1340678</v>
      </c>
    </row>
    <row r="24" spans="1:8" s="2" customFormat="1" ht="11.25">
      <c r="A24" s="3" t="s">
        <v>20</v>
      </c>
      <c r="B24" s="3"/>
      <c r="C24" s="8">
        <v>12498</v>
      </c>
      <c r="D24" s="8">
        <v>13459</v>
      </c>
      <c r="E24" s="8">
        <v>11440</v>
      </c>
      <c r="F24" s="8">
        <v>12903</v>
      </c>
      <c r="G24" s="8">
        <v>13710</v>
      </c>
      <c r="H24" s="8">
        <v>10000</v>
      </c>
    </row>
    <row r="25" spans="1:8" s="2" customFormat="1" ht="11.25">
      <c r="A25" s="5" t="s">
        <v>21</v>
      </c>
      <c r="C25" s="7"/>
      <c r="D25" s="7"/>
      <c r="E25" s="7"/>
      <c r="F25" s="7"/>
      <c r="G25" s="7"/>
      <c r="H25" s="7"/>
    </row>
    <row r="26" spans="1:8" s="2" customFormat="1" ht="11.25">
      <c r="A26" s="2" t="s">
        <v>10</v>
      </c>
      <c r="C26" s="7">
        <f>(C10+G10)/2</f>
        <v>1141684.5</v>
      </c>
      <c r="D26" s="7">
        <f>(D10+1027132)/2</f>
        <v>938130.5</v>
      </c>
      <c r="E26" s="7">
        <f>(E10+1037504)/2</f>
        <v>1036981</v>
      </c>
      <c r="F26" s="7">
        <f>(F10+1284738)/2</f>
        <v>1153046</v>
      </c>
      <c r="G26" s="7">
        <f>(G10+H10)/2</f>
        <v>1353009.5</v>
      </c>
      <c r="H26" s="7">
        <f>(H10+2002720)/2</f>
        <v>1724405</v>
      </c>
    </row>
    <row r="27" spans="1:8" s="2" customFormat="1" ht="11.25">
      <c r="A27" s="2" t="s">
        <v>22</v>
      </c>
      <c r="C27" s="7">
        <f aca="true" t="shared" si="4" ref="C27:H27">C28+C29</f>
        <v>854392.5</v>
      </c>
      <c r="D27" s="7">
        <f t="shared" si="4"/>
        <v>784532.5</v>
      </c>
      <c r="E27" s="7">
        <f t="shared" si="4"/>
        <v>910059.5</v>
      </c>
      <c r="F27" s="7">
        <f t="shared" si="4"/>
        <v>991332</v>
      </c>
      <c r="G27" s="7">
        <f t="shared" si="4"/>
        <v>1205935</v>
      </c>
      <c r="H27" s="7">
        <f t="shared" si="4"/>
        <v>1279668.5</v>
      </c>
    </row>
    <row r="28" spans="2:8" s="2" customFormat="1" ht="11.25">
      <c r="B28" s="2" t="s">
        <v>12</v>
      </c>
      <c r="C28" s="7">
        <f>(C12+G12)/2</f>
        <v>854392.5</v>
      </c>
      <c r="D28" s="7">
        <f>(D12+942858)/2</f>
        <v>784532.5</v>
      </c>
      <c r="E28" s="7">
        <f>(E12+969733)/2</f>
        <v>910059.5</v>
      </c>
      <c r="F28" s="7">
        <f>(F12+1148264)/2</f>
        <v>991332</v>
      </c>
      <c r="G28" s="7">
        <f>(G12+H12)/2</f>
        <v>1205935</v>
      </c>
      <c r="H28" s="7">
        <f>(H12+1201755)/2</f>
        <v>1279668.5</v>
      </c>
    </row>
    <row r="29" spans="2:8" s="2" customFormat="1" ht="11.25">
      <c r="B29" s="2" t="s">
        <v>15</v>
      </c>
      <c r="C29" s="7">
        <f>(C15+G15)/2</f>
        <v>0</v>
      </c>
      <c r="D29" s="7">
        <v>0</v>
      </c>
      <c r="E29" s="7">
        <v>0</v>
      </c>
      <c r="F29" s="7">
        <v>0</v>
      </c>
      <c r="G29" s="7">
        <f>(G15+H15)/2</f>
        <v>0</v>
      </c>
      <c r="H29" s="7">
        <v>0</v>
      </c>
    </row>
    <row r="30" spans="1:8" s="2" customFormat="1" ht="11.25">
      <c r="A30" s="3" t="s">
        <v>20</v>
      </c>
      <c r="B30" s="3"/>
      <c r="C30" s="8">
        <f>(C24+G24)/2</f>
        <v>13104</v>
      </c>
      <c r="D30" s="8">
        <f>(D24+10355)/2</f>
        <v>11907</v>
      </c>
      <c r="E30" s="8">
        <f>(E24+11188)/2</f>
        <v>11314</v>
      </c>
      <c r="F30" s="8">
        <f>(F24+8713)/2</f>
        <v>10808</v>
      </c>
      <c r="G30" s="8">
        <f>(G24+H24)/2</f>
        <v>11855</v>
      </c>
      <c r="H30" s="8">
        <f>(H24+6801)/2</f>
        <v>8400.5</v>
      </c>
    </row>
    <row r="31" s="2" customFormat="1" ht="11.25">
      <c r="A31" s="5" t="s">
        <v>23</v>
      </c>
    </row>
    <row r="32" spans="1:8" s="2" customFormat="1" ht="11.25">
      <c r="A32" s="2" t="s">
        <v>24</v>
      </c>
      <c r="C32" s="7">
        <f>15416+D32</f>
        <v>65467</v>
      </c>
      <c r="D32" s="7">
        <f>16901+E32</f>
        <v>50051</v>
      </c>
      <c r="E32" s="7">
        <f>15214+F32</f>
        <v>33150</v>
      </c>
      <c r="F32" s="7">
        <v>17936</v>
      </c>
      <c r="G32" s="7">
        <v>61400</v>
      </c>
      <c r="H32" s="7">
        <v>86618</v>
      </c>
    </row>
    <row r="33" spans="1:8" s="2" customFormat="1" ht="11.25">
      <c r="A33" s="2" t="s">
        <v>25</v>
      </c>
      <c r="C33" s="7">
        <f>13695+D33</f>
        <v>57765</v>
      </c>
      <c r="D33" s="7">
        <f>14607+E33</f>
        <v>44070</v>
      </c>
      <c r="E33" s="7">
        <f>13542+F33</f>
        <v>29463</v>
      </c>
      <c r="F33" s="7">
        <v>15921</v>
      </c>
      <c r="G33" s="7">
        <v>55507</v>
      </c>
      <c r="H33" s="7">
        <v>80056</v>
      </c>
    </row>
    <row r="34" spans="1:8" s="2" customFormat="1" ht="11.25">
      <c r="A34" s="2" t="s">
        <v>26</v>
      </c>
      <c r="C34" s="7">
        <f aca="true" t="shared" si="5" ref="C34:H34">C32-C33</f>
        <v>7702</v>
      </c>
      <c r="D34" s="7">
        <f t="shared" si="5"/>
        <v>5981</v>
      </c>
      <c r="E34" s="7">
        <f t="shared" si="5"/>
        <v>3687</v>
      </c>
      <c r="F34" s="7">
        <f t="shared" si="5"/>
        <v>2015</v>
      </c>
      <c r="G34" s="7">
        <f t="shared" si="5"/>
        <v>5893</v>
      </c>
      <c r="H34" s="7">
        <f t="shared" si="5"/>
        <v>6562</v>
      </c>
    </row>
    <row r="35" spans="1:8" s="2" customFormat="1" ht="11.25">
      <c r="A35" s="2" t="s">
        <v>27</v>
      </c>
      <c r="C35" s="7">
        <f>-2350+D35</f>
        <v>529</v>
      </c>
      <c r="D35" s="7">
        <f>2592+E35</f>
        <v>2879</v>
      </c>
      <c r="E35" s="7">
        <f>135+F35</f>
        <v>287</v>
      </c>
      <c r="F35" s="7">
        <v>152</v>
      </c>
      <c r="G35" s="7">
        <v>1587</v>
      </c>
      <c r="H35" s="7">
        <v>1921</v>
      </c>
    </row>
    <row r="36" spans="1:8" s="2" customFormat="1" ht="11.25">
      <c r="A36" s="2" t="s">
        <v>28</v>
      </c>
      <c r="C36" s="7">
        <f aca="true" t="shared" si="6" ref="C36:H36">C34+C35</f>
        <v>8231</v>
      </c>
      <c r="D36" s="7">
        <f t="shared" si="6"/>
        <v>8860</v>
      </c>
      <c r="E36" s="7">
        <f t="shared" si="6"/>
        <v>3974</v>
      </c>
      <c r="F36" s="7">
        <f t="shared" si="6"/>
        <v>2167</v>
      </c>
      <c r="G36" s="7">
        <f t="shared" si="6"/>
        <v>7480</v>
      </c>
      <c r="H36" s="7">
        <f t="shared" si="6"/>
        <v>8483</v>
      </c>
    </row>
    <row r="37" spans="1:8" s="2" customFormat="1" ht="11.25">
      <c r="A37" s="2" t="s">
        <v>29</v>
      </c>
      <c r="C37" s="7">
        <f>331+D37</f>
        <v>6539</v>
      </c>
      <c r="D37" s="7">
        <f>2865+E37</f>
        <v>6208</v>
      </c>
      <c r="E37" s="7">
        <f>368+F37</f>
        <v>3343</v>
      </c>
      <c r="F37" s="7">
        <v>2975</v>
      </c>
      <c r="G37" s="7">
        <v>1564</v>
      </c>
      <c r="H37" s="7">
        <v>1971</v>
      </c>
    </row>
    <row r="38" spans="1:8" s="2" customFormat="1" ht="11.25">
      <c r="A38" s="2" t="s">
        <v>30</v>
      </c>
      <c r="C38" s="7">
        <f aca="true" t="shared" si="7" ref="C38:H38">C36-C37</f>
        <v>1692</v>
      </c>
      <c r="D38" s="7">
        <f t="shared" si="7"/>
        <v>2652</v>
      </c>
      <c r="E38" s="7">
        <f t="shared" si="7"/>
        <v>631</v>
      </c>
      <c r="F38" s="7">
        <f t="shared" si="7"/>
        <v>-808</v>
      </c>
      <c r="G38" s="7">
        <f t="shared" si="7"/>
        <v>5916</v>
      </c>
      <c r="H38" s="7">
        <f t="shared" si="7"/>
        <v>6512</v>
      </c>
    </row>
    <row r="39" spans="1:8" s="2" customFormat="1" ht="11.25">
      <c r="A39" s="3" t="s">
        <v>31</v>
      </c>
      <c r="B39" s="3"/>
      <c r="C39" s="8">
        <f>-960+D39</f>
        <v>1692</v>
      </c>
      <c r="D39" s="8">
        <f>2021+E39</f>
        <v>2652</v>
      </c>
      <c r="E39" s="8">
        <f>1439+F39</f>
        <v>631</v>
      </c>
      <c r="F39" s="8">
        <v>-808</v>
      </c>
      <c r="G39" s="8">
        <v>5658</v>
      </c>
      <c r="H39" s="8">
        <v>6512</v>
      </c>
    </row>
    <row r="40" s="2" customFormat="1" ht="11.25">
      <c r="A40" s="5" t="s">
        <v>32</v>
      </c>
    </row>
    <row r="41" spans="1:8" s="2" customFormat="1" ht="11.25">
      <c r="A41" s="2" t="s">
        <v>33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s="2" customFormat="1" ht="11.25">
      <c r="A42" s="2" t="s">
        <v>34</v>
      </c>
      <c r="C42" s="7">
        <v>0</v>
      </c>
      <c r="D42" s="7">
        <v>0</v>
      </c>
      <c r="E42" s="7">
        <v>3647</v>
      </c>
      <c r="F42" s="7">
        <v>3647</v>
      </c>
      <c r="G42" s="7">
        <v>3647</v>
      </c>
      <c r="H42" s="7">
        <v>258</v>
      </c>
    </row>
    <row r="43" spans="1:8" s="2" customFormat="1" ht="11.25">
      <c r="A43" s="2" t="s">
        <v>35</v>
      </c>
      <c r="C43" s="9">
        <f aca="true" t="shared" si="8" ref="C43:H43">C41/C12</f>
        <v>0</v>
      </c>
      <c r="D43" s="9">
        <f t="shared" si="8"/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</row>
    <row r="44" spans="1:8" s="2" customFormat="1" ht="11.25">
      <c r="A44" s="2" t="s">
        <v>36</v>
      </c>
      <c r="C44" s="9">
        <f aca="true" t="shared" si="9" ref="C44:H44">(C42)/C12</f>
        <v>0</v>
      </c>
      <c r="D44" s="9">
        <f t="shared" si="9"/>
        <v>0</v>
      </c>
      <c r="E44" s="9">
        <f t="shared" si="9"/>
        <v>0.0042886406878758585</v>
      </c>
      <c r="F44" s="9">
        <f t="shared" si="9"/>
        <v>0.004370805369127517</v>
      </c>
      <c r="G44" s="9">
        <f t="shared" si="9"/>
        <v>0.0034592065925060323</v>
      </c>
      <c r="H44" s="9">
        <f t="shared" si="9"/>
        <v>0.00019004376899516936</v>
      </c>
    </row>
    <row r="45" spans="1:8" s="2" customFormat="1" ht="11.25">
      <c r="A45" s="10" t="s">
        <v>37</v>
      </c>
      <c r="C45" s="9">
        <f aca="true" t="shared" si="10" ref="C45:H45">(C41+C42)/C12</f>
        <v>0</v>
      </c>
      <c r="D45" s="9">
        <f t="shared" si="10"/>
        <v>0</v>
      </c>
      <c r="E45" s="9">
        <f t="shared" si="10"/>
        <v>0.0042886406878758585</v>
      </c>
      <c r="F45" s="9">
        <f t="shared" si="10"/>
        <v>0.004370805369127517</v>
      </c>
      <c r="G45" s="9">
        <f t="shared" si="10"/>
        <v>0.0034592065925060323</v>
      </c>
      <c r="H45" s="9">
        <f t="shared" si="10"/>
        <v>0.00019004376899516936</v>
      </c>
    </row>
    <row r="46" spans="1:8" s="2" customFormat="1" ht="11.25">
      <c r="A46" s="2" t="s">
        <v>38</v>
      </c>
      <c r="C46" s="9">
        <v>0.0038</v>
      </c>
      <c r="D46" s="9">
        <v>0</v>
      </c>
      <c r="E46" s="9">
        <v>0.0029</v>
      </c>
      <c r="F46" s="9">
        <v>0</v>
      </c>
      <c r="G46" s="9">
        <v>0</v>
      </c>
      <c r="H46" s="9">
        <f>(865/H12)</f>
        <v>0.0006371622487628739</v>
      </c>
    </row>
    <row r="47" spans="1:8" s="2" customFormat="1" ht="11.25">
      <c r="A47" s="3" t="s">
        <v>39</v>
      </c>
      <c r="B47" s="3"/>
      <c r="C47" s="11">
        <v>0</v>
      </c>
      <c r="D47" s="11">
        <v>0</v>
      </c>
      <c r="E47" s="11">
        <v>0.6778</v>
      </c>
      <c r="F47" s="11">
        <v>0</v>
      </c>
      <c r="G47" s="11">
        <v>0</v>
      </c>
      <c r="H47" s="11">
        <f>865/(H41+H42)</f>
        <v>3.352713178294574</v>
      </c>
    </row>
    <row r="48" s="2" customFormat="1" ht="11.25">
      <c r="A48" s="5" t="s">
        <v>40</v>
      </c>
    </row>
    <row r="49" spans="1:8" s="2" customFormat="1" ht="11.25">
      <c r="A49" s="2" t="s">
        <v>41</v>
      </c>
      <c r="C49" s="9">
        <f aca="true" t="shared" si="11" ref="C49:H49">C24/(C12+C15)</f>
        <v>0.019095580270039436</v>
      </c>
      <c r="D49" s="9">
        <f t="shared" si="11"/>
        <v>0.021492892925182888</v>
      </c>
      <c r="E49" s="9">
        <f t="shared" si="11"/>
        <v>0.013452714414395345</v>
      </c>
      <c r="F49" s="9">
        <f t="shared" si="11"/>
        <v>0.015463806327900287</v>
      </c>
      <c r="G49" s="9">
        <f t="shared" si="11"/>
        <v>0.01300403684761659</v>
      </c>
      <c r="H49" s="9">
        <f t="shared" si="11"/>
        <v>0.0073660375579523004</v>
      </c>
    </row>
    <row r="50" spans="1:8" s="2" customFormat="1" ht="11.25">
      <c r="A50" s="3" t="s">
        <v>42</v>
      </c>
      <c r="B50" s="3"/>
      <c r="C50" s="11">
        <f aca="true" t="shared" si="12" ref="C50:H50">C24/C10</f>
        <v>0.012211756429297272</v>
      </c>
      <c r="D50" s="11">
        <f t="shared" si="12"/>
        <v>0.015850359603782227</v>
      </c>
      <c r="E50" s="11">
        <f t="shared" si="12"/>
        <v>0.01103759148947666</v>
      </c>
      <c r="F50" s="11">
        <f t="shared" si="12"/>
        <v>0.012633230006442429</v>
      </c>
      <c r="G50" s="11">
        <f t="shared" si="12"/>
        <v>0.010881565548534878</v>
      </c>
      <c r="H50" s="11">
        <f t="shared" si="12"/>
        <v>0.00691519891569681</v>
      </c>
    </row>
    <row r="51" spans="1:8" s="2" customFormat="1" ht="11.25">
      <c r="A51" s="5" t="s">
        <v>43</v>
      </c>
      <c r="C51" s="12"/>
      <c r="D51" s="12"/>
      <c r="E51" s="12"/>
      <c r="F51" s="12"/>
      <c r="G51" s="12"/>
      <c r="H51" s="12"/>
    </row>
    <row r="52" spans="1:8" s="2" customFormat="1" ht="11.25">
      <c r="A52" s="2" t="s">
        <v>44</v>
      </c>
      <c r="C52" s="12">
        <f aca="true" t="shared" si="13" ref="C52:H52">C11/C16</f>
        <v>0.35370605543120726</v>
      </c>
      <c r="D52" s="12">
        <f t="shared" si="13"/>
        <v>0.2507747719608197</v>
      </c>
      <c r="E52" s="12">
        <f t="shared" si="13"/>
        <v>0.16483010473187126</v>
      </c>
      <c r="F52" s="12">
        <f t="shared" si="13"/>
        <v>0.16754573773985043</v>
      </c>
      <c r="G52" s="12">
        <f t="shared" si="13"/>
        <v>0.14850003514329474</v>
      </c>
      <c r="H52" s="12">
        <f t="shared" si="13"/>
        <v>0.04156057774870616</v>
      </c>
    </row>
    <row r="53" spans="1:8" s="2" customFormat="1" ht="11.25">
      <c r="A53" s="2" t="s">
        <v>45</v>
      </c>
      <c r="C53" s="12">
        <f aca="true" t="shared" si="14" ref="C53:H53">C11/C10</f>
        <v>0.3426297584616587</v>
      </c>
      <c r="D53" s="12">
        <f t="shared" si="14"/>
        <v>0.24205273874758723</v>
      </c>
      <c r="E53" s="12">
        <f t="shared" si="14"/>
        <v>0.15956073473310062</v>
      </c>
      <c r="F53" s="12">
        <f t="shared" si="14"/>
        <v>0.16166578874709453</v>
      </c>
      <c r="G53" s="12">
        <f t="shared" si="14"/>
        <v>0.1442136818820743</v>
      </c>
      <c r="H53" s="12">
        <f t="shared" si="14"/>
        <v>0.040466361014874594</v>
      </c>
    </row>
    <row r="54" spans="1:8" s="2" customFormat="1" ht="11.25">
      <c r="A54" s="3" t="s">
        <v>46</v>
      </c>
      <c r="B54" s="3"/>
      <c r="C54" s="13">
        <f aca="true" t="shared" si="15" ref="C54:H54">(C11+C15)/C16</f>
        <v>0.35370605543120726</v>
      </c>
      <c r="D54" s="13">
        <f t="shared" si="15"/>
        <v>0.2507747719608197</v>
      </c>
      <c r="E54" s="13">
        <f t="shared" si="15"/>
        <v>0.16483010473187126</v>
      </c>
      <c r="F54" s="13">
        <f t="shared" si="15"/>
        <v>0.16754573773985043</v>
      </c>
      <c r="G54" s="13">
        <f t="shared" si="15"/>
        <v>0.14850003514329474</v>
      </c>
      <c r="H54" s="13">
        <f t="shared" si="15"/>
        <v>0.04156057774870616</v>
      </c>
    </row>
    <row r="55" s="2" customFormat="1" ht="11.25">
      <c r="A55" s="5" t="s">
        <v>47</v>
      </c>
    </row>
    <row r="56" spans="1:8" s="2" customFormat="1" ht="11.25">
      <c r="A56" s="2" t="s">
        <v>48</v>
      </c>
      <c r="C56" s="9">
        <f>C39/C27</f>
        <v>0.0019803544623811656</v>
      </c>
      <c r="D56" s="9">
        <f>(D39/0.75)/D27</f>
        <v>0.004507142788858332</v>
      </c>
      <c r="E56" s="9">
        <f>(E39/0.5)/E27</f>
        <v>0.0013867225164948007</v>
      </c>
      <c r="F56" s="9">
        <f>((F39)/0.25)/F27</f>
        <v>-0.0032602599331001117</v>
      </c>
      <c r="G56" s="9">
        <f>G39/G27</f>
        <v>0.004691795163089221</v>
      </c>
      <c r="H56" s="9">
        <f>H39/H27</f>
        <v>0.005088817924329621</v>
      </c>
    </row>
    <row r="57" spans="1:8" s="2" customFormat="1" ht="11.25">
      <c r="A57" s="2" t="s">
        <v>49</v>
      </c>
      <c r="C57" s="9">
        <f>C39/C26</f>
        <v>0.0014820206458088902</v>
      </c>
      <c r="D57" s="9">
        <f>(D39/0.75)/D26</f>
        <v>0.0037691984217547558</v>
      </c>
      <c r="E57" s="9">
        <f>(E39/0.5)/E26</f>
        <v>0.0012169943325866144</v>
      </c>
      <c r="F57" s="9">
        <f>((F39)/0.25)/F26</f>
        <v>-0.0028030104609876798</v>
      </c>
      <c r="G57" s="9">
        <f>G39/G26</f>
        <v>0.004181788819664607</v>
      </c>
      <c r="H57" s="9">
        <f>H39/H26</f>
        <v>0.0037763750395063806</v>
      </c>
    </row>
    <row r="58" spans="1:8" s="2" customFormat="1" ht="11.25">
      <c r="A58" s="2" t="s">
        <v>50</v>
      </c>
      <c r="C58" s="9">
        <f>C39/C30</f>
        <v>0.12912087912087913</v>
      </c>
      <c r="D58" s="9">
        <f>(D39/0.75)/D30</f>
        <v>0.296968169984043</v>
      </c>
      <c r="E58" s="9">
        <f>(E39/0.5)/E30</f>
        <v>0.11154322078840374</v>
      </c>
      <c r="F58" s="9">
        <f>((F39)/0.25)/F30</f>
        <v>-0.2990377498149519</v>
      </c>
      <c r="G58" s="9">
        <f>G39/G30</f>
        <v>0.47726697595951073</v>
      </c>
      <c r="H58" s="9">
        <f>H39/H30</f>
        <v>0.7751919528599488</v>
      </c>
    </row>
    <row r="59" spans="1:8" s="2" customFormat="1" ht="11.25">
      <c r="A59" s="2" t="s">
        <v>51</v>
      </c>
      <c r="C59" s="9">
        <f>C32/C26</f>
        <v>0.057342461949864434</v>
      </c>
      <c r="D59" s="9">
        <f>(D32/0.75)/D26</f>
        <v>0.07113580324556837</v>
      </c>
      <c r="E59" s="9">
        <f>(E32/0.5)/E26</f>
        <v>0.06393559766283086</v>
      </c>
      <c r="F59" s="9">
        <f>((F32)/0.25)/F26</f>
        <v>0.06222128171816216</v>
      </c>
      <c r="G59" s="9">
        <f>G32/G26</f>
        <v>0.0453803169896442</v>
      </c>
      <c r="H59" s="9">
        <f>H32/H26</f>
        <v>0.05023065927087894</v>
      </c>
    </row>
    <row r="60" spans="1:8" s="2" customFormat="1" ht="11.25">
      <c r="A60" s="2" t="s">
        <v>52</v>
      </c>
      <c r="C60" s="9">
        <f>C33/C26</f>
        <v>0.050596289955762735</v>
      </c>
      <c r="D60" s="9">
        <f>(D33/0.75)/D26</f>
        <v>0.06263520906739521</v>
      </c>
      <c r="E60" s="9">
        <f>(E33/0.5)/E26</f>
        <v>0.05682457055625899</v>
      </c>
      <c r="F60" s="9">
        <f>((F33)/0.25)/F26</f>
        <v>0.05523110092745649</v>
      </c>
      <c r="G60" s="9">
        <f>G33/G26</f>
        <v>0.04102484128899317</v>
      </c>
      <c r="H60" s="9">
        <f>H33/H26</f>
        <v>0.04642528872277684</v>
      </c>
    </row>
    <row r="61" spans="1:8" s="2" customFormat="1" ht="11.25">
      <c r="A61" s="2" t="s">
        <v>53</v>
      </c>
      <c r="C61" s="9">
        <f>C34/C26</f>
        <v>0.006746171994101698</v>
      </c>
      <c r="D61" s="9">
        <f>(D34)/0.75/D26</f>
        <v>0.00850059417817315</v>
      </c>
      <c r="E61" s="9">
        <f>(E34/0.5)/E26</f>
        <v>0.007111027106571866</v>
      </c>
      <c r="F61" s="9">
        <f>((F34)/0.25)/F26</f>
        <v>0.006990180790705661</v>
      </c>
      <c r="G61" s="9">
        <f>G34/G26</f>
        <v>0.00435547570065103</v>
      </c>
      <c r="H61" s="9">
        <f>H34/H26</f>
        <v>0.003805370548102099</v>
      </c>
    </row>
    <row r="62" spans="1:8" s="2" customFormat="1" ht="11.25">
      <c r="A62" s="2" t="s">
        <v>54</v>
      </c>
      <c r="C62" s="9">
        <f>C37/C36</f>
        <v>0.7944356700279431</v>
      </c>
      <c r="D62" s="9">
        <f>(D37/0.75)/(D36/0.75)</f>
        <v>0.7006772009029345</v>
      </c>
      <c r="E62" s="9">
        <f>(E37/0.5)/(E36/0.5)</f>
        <v>0.8412179164569703</v>
      </c>
      <c r="F62" s="9">
        <f>(F37/0.25)/(F36/0.25)</f>
        <v>1.372865712967236</v>
      </c>
      <c r="G62" s="9">
        <f>G37/G36</f>
        <v>0.20909090909090908</v>
      </c>
      <c r="H62" s="9">
        <f>H37/H36</f>
        <v>0.23234704703524697</v>
      </c>
    </row>
    <row r="63" spans="1:8" s="2" customFormat="1" ht="11.25">
      <c r="A63" s="3" t="s">
        <v>55</v>
      </c>
      <c r="B63" s="3"/>
      <c r="C63" s="11">
        <f>C35/C26</f>
        <v>0.0004633504264969876</v>
      </c>
      <c r="D63" s="11">
        <f>(D35/0.75)/D26</f>
        <v>0.004091825888473583</v>
      </c>
      <c r="E63" s="11">
        <f>(E35/0.5)/E26</f>
        <v>0.0005535299103840861</v>
      </c>
      <c r="F63" s="11">
        <f>(F35/0.25)/F26</f>
        <v>0.0005272989976115437</v>
      </c>
      <c r="G63" s="11">
        <f>G35/G26</f>
        <v>0.0011729407664912922</v>
      </c>
      <c r="H63" s="11">
        <f>H35/H26</f>
        <v>0.0011140074402475057</v>
      </c>
    </row>
    <row r="64" s="2" customFormat="1" ht="11.25">
      <c r="A64" s="5" t="s">
        <v>56</v>
      </c>
    </row>
    <row r="65" spans="1:8" s="2" customFormat="1" ht="11.25">
      <c r="A65" s="2" t="s">
        <v>57</v>
      </c>
      <c r="C65" s="7">
        <v>30</v>
      </c>
      <c r="D65" s="7">
        <v>29</v>
      </c>
      <c r="E65" s="7">
        <v>29</v>
      </c>
      <c r="F65" s="7">
        <v>29</v>
      </c>
      <c r="G65" s="7">
        <v>29</v>
      </c>
      <c r="H65" s="7">
        <v>32</v>
      </c>
    </row>
    <row r="66" spans="1:8" s="2" customFormat="1" ht="11.25">
      <c r="A66" s="2" t="s">
        <v>58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</row>
    <row r="67" spans="1:8" s="2" customFormat="1" ht="11.25">
      <c r="A67" s="2" t="s">
        <v>59</v>
      </c>
      <c r="C67" s="7">
        <f aca="true" t="shared" si="16" ref="C67:H67">C12/C65</f>
        <v>21816.566666666666</v>
      </c>
      <c r="D67" s="7">
        <f t="shared" si="16"/>
        <v>21593.344827586207</v>
      </c>
      <c r="E67" s="7">
        <f t="shared" si="16"/>
        <v>29323.655172413793</v>
      </c>
      <c r="F67" s="7">
        <f t="shared" si="16"/>
        <v>28772.41379310345</v>
      </c>
      <c r="G67" s="7">
        <f t="shared" si="16"/>
        <v>36354.75862068965</v>
      </c>
      <c r="H67" s="7">
        <f t="shared" si="16"/>
        <v>42424.4375</v>
      </c>
    </row>
    <row r="68" spans="1:8" s="2" customFormat="1" ht="11.25">
      <c r="A68" s="2" t="s">
        <v>60</v>
      </c>
      <c r="C68" s="7">
        <f aca="true" t="shared" si="17" ref="C68:H68">C16/C65</f>
        <v>33046.36666666667</v>
      </c>
      <c r="D68" s="7">
        <f t="shared" si="17"/>
        <v>28261.931034482757</v>
      </c>
      <c r="E68" s="7">
        <f t="shared" si="17"/>
        <v>34597.379310344826</v>
      </c>
      <c r="F68" s="7">
        <f t="shared" si="17"/>
        <v>33983.10344827586</v>
      </c>
      <c r="G68" s="7">
        <f t="shared" si="17"/>
        <v>42191.793103448275</v>
      </c>
      <c r="H68" s="7">
        <f t="shared" si="17"/>
        <v>44000.53125</v>
      </c>
    </row>
    <row r="69" spans="1:8" s="2" customFormat="1" ht="11.25">
      <c r="A69" s="3" t="s">
        <v>61</v>
      </c>
      <c r="B69" s="3"/>
      <c r="C69" s="8">
        <f aca="true" t="shared" si="18" ref="C69:H69">(C39/C65)</f>
        <v>56.4</v>
      </c>
      <c r="D69" s="8">
        <f t="shared" si="18"/>
        <v>91.44827586206897</v>
      </c>
      <c r="E69" s="8">
        <f t="shared" si="18"/>
        <v>21.75862068965517</v>
      </c>
      <c r="F69" s="8">
        <f t="shared" si="18"/>
        <v>-27.862068965517242</v>
      </c>
      <c r="G69" s="8">
        <f t="shared" si="18"/>
        <v>195.10344827586206</v>
      </c>
      <c r="H69" s="8">
        <f t="shared" si="18"/>
        <v>203.5</v>
      </c>
    </row>
    <row r="70" s="2" customFormat="1" ht="11.25">
      <c r="A70" s="5" t="s">
        <v>62</v>
      </c>
    </row>
    <row r="71" spans="1:8" s="2" customFormat="1" ht="11.25">
      <c r="A71" s="2" t="s">
        <v>63</v>
      </c>
      <c r="C71" s="9">
        <f>(C10/G10)-1</f>
        <v>-0.18770025930032563</v>
      </c>
      <c r="D71" s="9">
        <f>(D10/1027132)-1</f>
        <v>-0.17330099734016657</v>
      </c>
      <c r="E71" s="9">
        <f>(E10/1037504)-1</f>
        <v>-0.0010081888840910436</v>
      </c>
      <c r="F71" s="9">
        <f>(F10/1284738)-1</f>
        <v>-0.20500989306769157</v>
      </c>
      <c r="G71" s="9">
        <f>(G10/H10)-1</f>
        <v>-0.12873403453450338</v>
      </c>
      <c r="H71" s="9">
        <f>(H10/2002720)-1</f>
        <v>-0.27793700567228574</v>
      </c>
    </row>
    <row r="72" spans="1:8" s="2" customFormat="1" ht="11.25">
      <c r="A72" s="2" t="s">
        <v>64</v>
      </c>
      <c r="C72" s="9">
        <f>(C12/G12)-1</f>
        <v>-0.3792047334314722</v>
      </c>
      <c r="D72" s="9">
        <f>D12/942858-1</f>
        <v>-0.33584166438636576</v>
      </c>
      <c r="E72" s="9">
        <f>E12/969733-1</f>
        <v>-0.12307202085522506</v>
      </c>
      <c r="F72" s="9">
        <f>F12/1148264-1</f>
        <v>-0.27333783868518036</v>
      </c>
      <c r="G72" s="9">
        <f>(G12/H12)-1</f>
        <v>-0.22340749951015848</v>
      </c>
      <c r="H72" s="9">
        <f>H12/1201755-1</f>
        <v>0.1296661965209216</v>
      </c>
    </row>
    <row r="73" spans="2:8" s="2" customFormat="1" ht="11.25">
      <c r="B73" s="2" t="s">
        <v>13</v>
      </c>
      <c r="C73" s="9">
        <f>(C13/G13)-1</f>
        <v>-0.7912175359907401</v>
      </c>
      <c r="D73" s="9">
        <f>(D13/30932)-1</f>
        <v>-0.6911612569507306</v>
      </c>
      <c r="E73" s="9">
        <f>(E13/34369)-1</f>
        <v>-0.6836975181122523</v>
      </c>
      <c r="F73" s="9">
        <f>(F13/39891)-1</f>
        <v>-0.6516507482890878</v>
      </c>
      <c r="G73" s="9">
        <f>(G13/H13)-1</f>
        <v>-0.3407259026088616</v>
      </c>
      <c r="H73" s="9">
        <f>(H13/18410)-1</f>
        <v>1.2777838131450299</v>
      </c>
    </row>
    <row r="74" spans="2:8" s="2" customFormat="1" ht="11.25">
      <c r="B74" s="2" t="s">
        <v>14</v>
      </c>
      <c r="C74" s="9">
        <f>(C14/G14)-1</f>
        <v>-0.36810981822290534</v>
      </c>
      <c r="D74" s="9">
        <f>(D14/911927)-1</f>
        <v>-0.3237901718010323</v>
      </c>
      <c r="E74" s="9">
        <f>(E14/935364)-1</f>
        <v>-0.1024724064642214</v>
      </c>
      <c r="F74" s="9">
        <f>(F14/1108373)-1</f>
        <v>-0.25972213325297533</v>
      </c>
      <c r="G74" s="9">
        <f>(G14/H14)-1</f>
        <v>-0.21966817872257627</v>
      </c>
      <c r="H74" s="9">
        <f>(H14/1183344)-1</f>
        <v>0.11180518936167338</v>
      </c>
    </row>
    <row r="75" spans="1:8" s="2" customFormat="1" ht="11.25">
      <c r="A75" s="2" t="s">
        <v>65</v>
      </c>
      <c r="C75" s="9">
        <f>(C16/G16)-1</f>
        <v>-0.1897500903100946</v>
      </c>
      <c r="D75" s="9">
        <f>D16/994574-1</f>
        <v>-0.1759326103437251</v>
      </c>
      <c r="E75" s="9">
        <f>E16/1003838-1</f>
        <v>-0.0005120348103977435</v>
      </c>
      <c r="F75" s="9">
        <f>F16/1247038-1</f>
        <v>-0.20971935097406813</v>
      </c>
      <c r="G75" s="9">
        <f>(G16/H16)-1</f>
        <v>-0.13100338987384386</v>
      </c>
      <c r="H75" s="9">
        <f>H16/1960055-1</f>
        <v>-0.28164413753695683</v>
      </c>
    </row>
    <row r="76" spans="2:8" s="2" customFormat="1" ht="11.25">
      <c r="B76" s="2" t="s">
        <v>13</v>
      </c>
      <c r="C76" s="9">
        <f>(C17/G17)-1</f>
        <v>2.0617430043157454</v>
      </c>
      <c r="D76" s="9">
        <f>(D17/8405)-1</f>
        <v>0.40499702558001194</v>
      </c>
      <c r="E76" s="9">
        <f>(E17/10228)-1</f>
        <v>-0.22790379350801726</v>
      </c>
      <c r="F76" s="9">
        <f>(F17/14959)-1</f>
        <v>0.0505381375760412</v>
      </c>
      <c r="G76" s="9">
        <f>(G17/H17)-1</f>
        <v>0.24943468429292048</v>
      </c>
      <c r="H76" s="9">
        <f>(H17/18746)-1</f>
        <v>-0.3866424837298623</v>
      </c>
    </row>
    <row r="77" spans="2:8" s="2" customFormat="1" ht="11.25">
      <c r="B77" s="2" t="s">
        <v>14</v>
      </c>
      <c r="C77" s="9">
        <f>(C21/G21)-1</f>
        <v>-0.2164992275859331</v>
      </c>
      <c r="D77" s="9">
        <f>(D21/986169)-1</f>
        <v>-0.18088380389162506</v>
      </c>
      <c r="E77" s="9">
        <f>(E21/993610)-1</f>
        <v>0.0018286852990609948</v>
      </c>
      <c r="F77" s="9">
        <f>(F21/1232080)-1</f>
        <v>-0.21287984546458028</v>
      </c>
      <c r="G77" s="9">
        <f>(G21/H21)-1</f>
        <v>-0.13413566159858903</v>
      </c>
      <c r="H77" s="9">
        <f>(H21/1941309)-1</f>
        <v>-0.2806302345479261</v>
      </c>
    </row>
    <row r="78" spans="1:8" s="2" customFormat="1" ht="11.25">
      <c r="A78" s="2" t="s">
        <v>66</v>
      </c>
      <c r="C78" s="9">
        <f>(C24/G24)-1</f>
        <v>-0.0884026258205689</v>
      </c>
      <c r="D78" s="9">
        <f>(D24/10354)-1</f>
        <v>0.29988410276221744</v>
      </c>
      <c r="E78" s="9">
        <f>(E24/11188)-1</f>
        <v>0.0225241329996424</v>
      </c>
      <c r="F78" s="9">
        <f>(F24/8713)-1</f>
        <v>0.4808906232067027</v>
      </c>
      <c r="G78" s="9">
        <f>(G24/H24)-1</f>
        <v>0.371</v>
      </c>
      <c r="H78" s="9">
        <f>(H24/6801)-1</f>
        <v>0.4703720041170416</v>
      </c>
    </row>
    <row r="79" spans="1:8" s="2" customFormat="1" ht="11.25">
      <c r="A79" s="3" t="s">
        <v>67</v>
      </c>
      <c r="B79" s="3"/>
      <c r="C79" s="11">
        <f>(C39/G39)-1</f>
        <v>-0.7009544008483564</v>
      </c>
      <c r="D79" s="11">
        <f>(D39/2273)-1</f>
        <v>0.16673999120105587</v>
      </c>
      <c r="E79" s="11">
        <f>(E39/3106)-1</f>
        <v>-0.7968448164842241</v>
      </c>
      <c r="F79" s="11">
        <f>(F39/1927)-1</f>
        <v>-1.4193046185781006</v>
      </c>
      <c r="G79" s="11">
        <f>(G39/H39)-1</f>
        <v>-0.1311425061425061</v>
      </c>
      <c r="H79" s="11">
        <f>(H39/6144)-1</f>
        <v>0.05989583333333326</v>
      </c>
    </row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2002-05-02T15:16:38Z</cp:lastPrinted>
  <dcterms:created xsi:type="dcterms:W3CDTF">2002-03-08T14:23:58Z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