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<sst xmlns="http://schemas.openxmlformats.org/spreadsheetml/2006/main" count="80" uniqueCount="68">
  <si>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18-3    BANCO GENERAL,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</si>
  <si>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</si>
  <si>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</si>
  <si>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</si>
  <si>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</si>
  <si>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</si>
  <si>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</si>
  <si>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</si>
  <si>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</si>
  <si>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</si>
  <si>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</si>
  <si>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</si>
  <si>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</si>
  <si>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</si>
  <si>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</si>
  <si>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</si>
  <si>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</si>
  <si>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</si>
  <si>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</si>
  <si>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</si>
  <si>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</si>
  <si>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</si>
  <si>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</si>
  <si>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</si>
  <si>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</si>
  <si>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</si>
  <si>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</si>
  <si>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</si>
  <si>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</si>
  <si>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</si>
  <si>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</si>
  <si>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</si>
  <si>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</si>
  <si>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</si>
  <si>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</si>
  <si>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 xml:space="preserve">Préstamos Morosos / Préstamos Totales 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</si>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</sst>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11.421875" defaultRowHeight="12.75"/>
  <cols>
    <col min="1" max="1" width="3.00390625" style="1" customWidth="1"/>
    <col min="2" max="2" width="35.57421875" style="1" customWidth="1"/>
    <col min="3" max="3" width="11.28125" style="1" customWidth="1"/>
    <col min="4" max="6" width="9.8515625" style="1" customWidth="1"/>
    <col min="7" max="7" width="11.00390625" style="1" customWidth="1"/>
    <col min="8" max="8" width="10.8515625" style="1" customWidth="1"/>
    <col min="9" max="16384" width="9.851562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2:8" ht="11.25">
      <c r="B3" s="15"/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15"/>
      <c r="B6" s="15"/>
      <c r="C6" s="15"/>
      <c r="D6" s="15"/>
      <c r="E6" s="15"/>
      <c r="F6" s="15"/>
      <c r="G6" s="15"/>
      <c r="H6" s="15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2364018</v>
      </c>
      <c r="D9" s="7">
        <v>2273129</v>
      </c>
      <c r="E9" s="7">
        <v>2271737</v>
      </c>
      <c r="F9" s="7">
        <v>1803453</v>
      </c>
      <c r="G9" s="7">
        <v>1830993</v>
      </c>
      <c r="H9" s="7">
        <v>1621431</v>
      </c>
    </row>
    <row r="10" spans="1:8" ht="11.25">
      <c r="A10" s="6" t="s">
        <v>11</v>
      </c>
      <c r="B10" s="6"/>
      <c r="C10" s="7">
        <v>538822</v>
      </c>
      <c r="D10" s="7">
        <v>424158</v>
      </c>
      <c r="E10" s="7">
        <v>412916</v>
      </c>
      <c r="F10" s="7">
        <v>396466</v>
      </c>
      <c r="G10" s="7">
        <v>456203</v>
      </c>
      <c r="H10" s="7">
        <v>455428</v>
      </c>
    </row>
    <row r="11" spans="1:8" ht="11.25">
      <c r="A11" s="6" t="s">
        <v>12</v>
      </c>
      <c r="B11" s="6"/>
      <c r="C11" s="7">
        <f aca="true" t="shared" si="0" ref="C11:H11">C12+C13</f>
        <v>1420025</v>
      </c>
      <c r="D11" s="7">
        <f t="shared" si="0"/>
        <v>1411626</v>
      </c>
      <c r="E11" s="7">
        <f t="shared" si="0"/>
        <v>1382079</v>
      </c>
      <c r="F11" s="7">
        <f t="shared" si="0"/>
        <v>972678</v>
      </c>
      <c r="G11" s="7">
        <f t="shared" si="0"/>
        <v>950990</v>
      </c>
      <c r="H11" s="7">
        <f t="shared" si="0"/>
        <v>885693</v>
      </c>
    </row>
    <row r="12" spans="1:8" ht="11.25">
      <c r="A12" s="6"/>
      <c r="B12" s="6" t="s">
        <v>13</v>
      </c>
      <c r="C12" s="7">
        <v>1386395</v>
      </c>
      <c r="D12" s="7">
        <v>1381459</v>
      </c>
      <c r="E12" s="7">
        <v>1356762</v>
      </c>
      <c r="F12" s="7">
        <v>959569</v>
      </c>
      <c r="G12" s="7">
        <v>943176</v>
      </c>
      <c r="H12" s="7">
        <v>885228</v>
      </c>
    </row>
    <row r="13" spans="1:8" ht="11.25">
      <c r="A13" s="6"/>
      <c r="B13" s="6" t="s">
        <v>14</v>
      </c>
      <c r="C13" s="7">
        <v>33630</v>
      </c>
      <c r="D13" s="7">
        <v>30167</v>
      </c>
      <c r="E13" s="7">
        <v>25317</v>
      </c>
      <c r="F13" s="7">
        <v>13109</v>
      </c>
      <c r="G13" s="7">
        <v>7814</v>
      </c>
      <c r="H13" s="7">
        <v>465</v>
      </c>
    </row>
    <row r="14" spans="1:8" ht="11.25">
      <c r="A14" s="6" t="s">
        <v>15</v>
      </c>
      <c r="B14" s="6"/>
      <c r="C14" s="7">
        <v>298636</v>
      </c>
      <c r="D14" s="7">
        <v>337032</v>
      </c>
      <c r="E14" s="7">
        <v>368674</v>
      </c>
      <c r="F14" s="7">
        <v>371129</v>
      </c>
      <c r="G14" s="7">
        <v>361268</v>
      </c>
      <c r="H14" s="7">
        <v>221241</v>
      </c>
    </row>
    <row r="15" spans="1:8" ht="11.25">
      <c r="A15" s="6" t="s">
        <v>16</v>
      </c>
      <c r="B15" s="6"/>
      <c r="C15" s="7">
        <f aca="true" t="shared" si="1" ref="C15:H15">C16+C20</f>
        <v>1732641</v>
      </c>
      <c r="D15" s="7">
        <f t="shared" si="1"/>
        <v>1666252</v>
      </c>
      <c r="E15" s="7">
        <f t="shared" si="1"/>
        <v>1711686</v>
      </c>
      <c r="F15" s="7">
        <f t="shared" si="1"/>
        <v>1344683</v>
      </c>
      <c r="G15" s="7">
        <f t="shared" si="1"/>
        <v>1369300</v>
      </c>
      <c r="H15" s="7">
        <f t="shared" si="1"/>
        <v>1172095</v>
      </c>
    </row>
    <row r="16" spans="1:8" ht="11.25">
      <c r="A16" s="6"/>
      <c r="B16" s="6" t="s">
        <v>13</v>
      </c>
      <c r="C16" s="7">
        <f aca="true" t="shared" si="2" ref="C16:H16">SUM(C17:C19)</f>
        <v>1597507</v>
      </c>
      <c r="D16" s="7">
        <f t="shared" si="2"/>
        <v>1523528</v>
      </c>
      <c r="E16" s="7">
        <f t="shared" si="2"/>
        <v>1551937</v>
      </c>
      <c r="F16" s="7">
        <f t="shared" si="2"/>
        <v>1231029</v>
      </c>
      <c r="G16" s="7">
        <f t="shared" si="2"/>
        <v>1272708</v>
      </c>
      <c r="H16" s="7">
        <f t="shared" si="2"/>
        <v>1087208</v>
      </c>
    </row>
    <row r="17" spans="1:8" ht="11.25">
      <c r="A17" s="6"/>
      <c r="B17" s="6" t="s">
        <v>17</v>
      </c>
      <c r="C17" s="7"/>
      <c r="D17" s="7">
        <v>0</v>
      </c>
      <c r="E17" s="7"/>
      <c r="F17" s="7"/>
      <c r="G17" s="7">
        <v>0</v>
      </c>
      <c r="H17" s="7">
        <v>0</v>
      </c>
    </row>
    <row r="18" spans="1:8" ht="11.25">
      <c r="A18" s="6"/>
      <c r="B18" s="6" t="s">
        <v>18</v>
      </c>
      <c r="C18" s="7">
        <v>1459334</v>
      </c>
      <c r="D18" s="7">
        <v>1383776</v>
      </c>
      <c r="E18" s="7">
        <v>1376305</v>
      </c>
      <c r="F18" s="7">
        <v>1073977</v>
      </c>
      <c r="G18" s="7">
        <v>1065908</v>
      </c>
      <c r="H18" s="7">
        <v>981965</v>
      </c>
    </row>
    <row r="19" spans="1:8" ht="11.25">
      <c r="A19" s="6"/>
      <c r="B19" s="6" t="s">
        <v>19</v>
      </c>
      <c r="C19" s="7">
        <v>138173</v>
      </c>
      <c r="D19" s="7">
        <v>139752</v>
      </c>
      <c r="E19" s="7">
        <v>175632</v>
      </c>
      <c r="F19" s="7">
        <v>157052</v>
      </c>
      <c r="G19" s="7">
        <v>206800</v>
      </c>
      <c r="H19" s="7">
        <v>105243</v>
      </c>
    </row>
    <row r="20" spans="1:8" ht="11.25">
      <c r="A20" s="6"/>
      <c r="B20" s="6" t="s">
        <v>14</v>
      </c>
      <c r="C20" s="7">
        <f aca="true" t="shared" si="3" ref="C20:H20">C21+C22</f>
        <v>135134</v>
      </c>
      <c r="D20" s="7">
        <f t="shared" si="3"/>
        <v>142724</v>
      </c>
      <c r="E20" s="7">
        <f t="shared" si="3"/>
        <v>159749</v>
      </c>
      <c r="F20" s="7">
        <f t="shared" si="3"/>
        <v>113654</v>
      </c>
      <c r="G20" s="7">
        <f t="shared" si="3"/>
        <v>96592</v>
      </c>
      <c r="H20" s="7">
        <f t="shared" si="3"/>
        <v>84887</v>
      </c>
    </row>
    <row r="21" spans="1:8" ht="11.25">
      <c r="A21" s="6"/>
      <c r="B21" s="6" t="s">
        <v>18</v>
      </c>
      <c r="C21" s="7">
        <v>62650</v>
      </c>
      <c r="D21" s="7">
        <v>64642</v>
      </c>
      <c r="E21" s="7">
        <v>69466</v>
      </c>
      <c r="F21" s="7">
        <v>25563</v>
      </c>
      <c r="G21" s="7">
        <v>26858</v>
      </c>
      <c r="H21" s="7">
        <v>22482</v>
      </c>
    </row>
    <row r="22" spans="1:8" ht="11.25">
      <c r="A22" s="6"/>
      <c r="B22" s="6" t="s">
        <v>19</v>
      </c>
      <c r="C22" s="7">
        <v>72484</v>
      </c>
      <c r="D22" s="7">
        <v>78082</v>
      </c>
      <c r="E22" s="7">
        <v>90283</v>
      </c>
      <c r="F22" s="7">
        <v>88091</v>
      </c>
      <c r="G22" s="7">
        <v>69734</v>
      </c>
      <c r="H22" s="7">
        <v>62405</v>
      </c>
    </row>
    <row r="23" spans="1:8" ht="11.25">
      <c r="A23" s="2" t="s">
        <v>20</v>
      </c>
      <c r="B23" s="2"/>
      <c r="C23" s="8">
        <v>255004</v>
      </c>
      <c r="D23" s="8">
        <v>251221</v>
      </c>
      <c r="E23" s="8">
        <v>244213</v>
      </c>
      <c r="F23" s="8">
        <v>171986</v>
      </c>
      <c r="G23" s="8">
        <v>168415</v>
      </c>
      <c r="H23" s="8">
        <v>143412</v>
      </c>
    </row>
    <row r="24" spans="1:8" ht="11.25">
      <c r="A24" s="4" t="s">
        <v>21</v>
      </c>
      <c r="B24" s="6"/>
      <c r="C24" s="6"/>
      <c r="D24" s="6"/>
      <c r="E24" s="6"/>
      <c r="F24" s="6"/>
      <c r="G24" s="6"/>
      <c r="H24" s="6"/>
    </row>
    <row r="25" spans="1:8" ht="11.25">
      <c r="A25" s="6" t="s">
        <v>10</v>
      </c>
      <c r="B25" s="6"/>
      <c r="C25" s="7">
        <f>+(C9+G9)/2</f>
        <v>2097505.5</v>
      </c>
      <c r="D25" s="7">
        <f>+(2273129+1716526)/2</f>
        <v>1994827.5</v>
      </c>
      <c r="E25" s="7">
        <f>+(2271737+1696997)/2</f>
        <v>1984367</v>
      </c>
      <c r="F25" s="7">
        <f>+(1803453+1668182)/2</f>
        <v>1735817.5</v>
      </c>
      <c r="G25" s="7">
        <f>(G9+H9)/2</f>
        <v>1726212</v>
      </c>
      <c r="H25" s="7">
        <f>(H9+1345359)/2</f>
        <v>1483395</v>
      </c>
    </row>
    <row r="26" spans="1:8" ht="11.25">
      <c r="A26" s="6" t="s">
        <v>22</v>
      </c>
      <c r="B26" s="6"/>
      <c r="C26" s="7">
        <f aca="true" t="shared" si="4" ref="C26:H26">C27+C28</f>
        <v>1515459.5</v>
      </c>
      <c r="D26" s="7">
        <f t="shared" si="4"/>
        <v>1504510.5</v>
      </c>
      <c r="E26" s="7">
        <f t="shared" si="4"/>
        <v>1472548.5</v>
      </c>
      <c r="F26" s="7">
        <f t="shared" si="4"/>
        <v>1241826.5</v>
      </c>
      <c r="G26" s="7">
        <f t="shared" si="4"/>
        <v>1209596</v>
      </c>
      <c r="H26" s="7">
        <f t="shared" si="4"/>
        <v>1006801.5</v>
      </c>
    </row>
    <row r="27" spans="1:8" ht="11.25">
      <c r="A27" s="6"/>
      <c r="B27" s="6" t="s">
        <v>12</v>
      </c>
      <c r="C27" s="7">
        <f>+(C11+G11)/2</f>
        <v>1185507.5</v>
      </c>
      <c r="D27" s="7">
        <f>+(1411626+941622)/2</f>
        <v>1176624</v>
      </c>
      <c r="E27" s="7">
        <f>+(E11+923530)/2</f>
        <v>1152804.5</v>
      </c>
      <c r="F27" s="7">
        <f>+(F11+918459)/2</f>
        <v>945568.5</v>
      </c>
      <c r="G27" s="7">
        <f>(G11+H11)/2</f>
        <v>918341.5</v>
      </c>
      <c r="H27" s="7">
        <f>(H11+792160)/2</f>
        <v>838926.5</v>
      </c>
    </row>
    <row r="28" spans="1:8" ht="11.25">
      <c r="A28" s="6"/>
      <c r="B28" s="6" t="s">
        <v>15</v>
      </c>
      <c r="C28" s="7">
        <f>+(C14+G14)/2</f>
        <v>329952</v>
      </c>
      <c r="D28" s="7">
        <f>+(D14+318741)/2</f>
        <v>327886.5</v>
      </c>
      <c r="E28" s="7">
        <f>+(E14+270814)/2</f>
        <v>319744</v>
      </c>
      <c r="F28" s="7">
        <f>+(F14+221387)/2</f>
        <v>296258</v>
      </c>
      <c r="G28" s="7">
        <f>(G14+H14)/2</f>
        <v>291254.5</v>
      </c>
      <c r="H28" s="7">
        <f>(H14+114509)/2</f>
        <v>167875</v>
      </c>
    </row>
    <row r="29" spans="1:8" ht="11.25">
      <c r="A29" s="2" t="s">
        <v>20</v>
      </c>
      <c r="B29" s="2"/>
      <c r="C29" s="8">
        <f>+(C23+G23)/2</f>
        <v>211709.5</v>
      </c>
      <c r="D29" s="8">
        <f>+(D23+159360)/2</f>
        <v>205290.5</v>
      </c>
      <c r="E29" s="8">
        <f>+(E23+152176)/2</f>
        <v>198194.5</v>
      </c>
      <c r="F29" s="8">
        <f>+(F23+145488)/2</f>
        <v>158737</v>
      </c>
      <c r="G29" s="8">
        <f>(G23+H23)/2</f>
        <v>155913.5</v>
      </c>
      <c r="H29" s="8">
        <f>(H23+108597)/2</f>
        <v>126004.5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v>176446</v>
      </c>
      <c r="D31" s="7">
        <v>125460</v>
      </c>
      <c r="E31" s="7">
        <v>75892</v>
      </c>
      <c r="F31" s="7">
        <v>37622</v>
      </c>
      <c r="G31" s="7">
        <v>140993</v>
      </c>
      <c r="H31" s="7">
        <v>125572</v>
      </c>
    </row>
    <row r="32" spans="1:8" ht="11.25">
      <c r="A32" s="6" t="s">
        <v>25</v>
      </c>
      <c r="B32" s="6"/>
      <c r="C32" s="7">
        <v>119211</v>
      </c>
      <c r="D32" s="7">
        <v>85188</v>
      </c>
      <c r="E32" s="7">
        <v>51922</v>
      </c>
      <c r="F32" s="7">
        <v>25712</v>
      </c>
      <c r="G32" s="7">
        <v>90069</v>
      </c>
      <c r="H32" s="7">
        <v>82189</v>
      </c>
    </row>
    <row r="33" spans="1:8" ht="11.25">
      <c r="A33" s="6" t="s">
        <v>26</v>
      </c>
      <c r="B33" s="6"/>
      <c r="C33" s="7">
        <f aca="true" t="shared" si="5" ref="C33:H33">C31-C32</f>
        <v>57235</v>
      </c>
      <c r="D33" s="7">
        <f t="shared" si="5"/>
        <v>40272</v>
      </c>
      <c r="E33" s="7">
        <f t="shared" si="5"/>
        <v>23970</v>
      </c>
      <c r="F33" s="7">
        <f t="shared" si="5"/>
        <v>11910</v>
      </c>
      <c r="G33" s="7">
        <f t="shared" si="5"/>
        <v>50924</v>
      </c>
      <c r="H33" s="7">
        <f t="shared" si="5"/>
        <v>43383</v>
      </c>
    </row>
    <row r="34" spans="1:8" ht="11.25">
      <c r="A34" s="6" t="s">
        <v>27</v>
      </c>
      <c r="B34" s="6"/>
      <c r="C34" s="7">
        <v>34864</v>
      </c>
      <c r="D34" s="7">
        <v>21965</v>
      </c>
      <c r="E34" s="7">
        <v>12871</v>
      </c>
      <c r="F34" s="7">
        <v>6147</v>
      </c>
      <c r="G34" s="7">
        <v>24576</v>
      </c>
      <c r="H34" s="7">
        <v>22776</v>
      </c>
    </row>
    <row r="35" spans="1:8" ht="11.25">
      <c r="A35" s="6" t="s">
        <v>28</v>
      </c>
      <c r="B35" s="6"/>
      <c r="C35" s="7">
        <f aca="true" t="shared" si="6" ref="C35:H35">C33+C34</f>
        <v>92099</v>
      </c>
      <c r="D35" s="7">
        <f t="shared" si="6"/>
        <v>62237</v>
      </c>
      <c r="E35" s="7">
        <f t="shared" si="6"/>
        <v>36841</v>
      </c>
      <c r="F35" s="7">
        <f t="shared" si="6"/>
        <v>18057</v>
      </c>
      <c r="G35" s="7">
        <f t="shared" si="6"/>
        <v>75500</v>
      </c>
      <c r="H35" s="7">
        <f t="shared" si="6"/>
        <v>66159</v>
      </c>
    </row>
    <row r="36" spans="1:8" ht="11.25">
      <c r="A36" s="6" t="s">
        <v>29</v>
      </c>
      <c r="B36" s="6"/>
      <c r="C36" s="7">
        <v>44768</v>
      </c>
      <c r="D36" s="7">
        <v>32214</v>
      </c>
      <c r="E36" s="7">
        <v>19451</v>
      </c>
      <c r="F36" s="7">
        <v>9234</v>
      </c>
      <c r="G36" s="7">
        <v>38030</v>
      </c>
      <c r="H36" s="7">
        <v>34992</v>
      </c>
    </row>
    <row r="37" spans="1:8" ht="11.25">
      <c r="A37" s="6" t="s">
        <v>30</v>
      </c>
      <c r="B37" s="6"/>
      <c r="C37" s="7">
        <f aca="true" t="shared" si="7" ref="C37:H37">C35-C36</f>
        <v>47331</v>
      </c>
      <c r="D37" s="7">
        <f t="shared" si="7"/>
        <v>30023</v>
      </c>
      <c r="E37" s="7">
        <f t="shared" si="7"/>
        <v>17390</v>
      </c>
      <c r="F37" s="7">
        <f t="shared" si="7"/>
        <v>8823</v>
      </c>
      <c r="G37" s="7">
        <f t="shared" si="7"/>
        <v>37470</v>
      </c>
      <c r="H37" s="7">
        <f t="shared" si="7"/>
        <v>31167</v>
      </c>
    </row>
    <row r="38" spans="1:8" ht="11.25">
      <c r="A38" s="2" t="s">
        <v>31</v>
      </c>
      <c r="B38" s="2"/>
      <c r="C38" s="8">
        <v>37332</v>
      </c>
      <c r="D38" s="8">
        <v>26421</v>
      </c>
      <c r="E38" s="8">
        <v>15505</v>
      </c>
      <c r="F38" s="8">
        <v>8032</v>
      </c>
      <c r="G38" s="8">
        <v>34051</v>
      </c>
      <c r="H38" s="8">
        <v>26584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7">
        <v>26434</v>
      </c>
      <c r="D40" s="7">
        <v>25540</v>
      </c>
      <c r="E40" s="7">
        <v>20188</v>
      </c>
      <c r="F40" s="7">
        <v>13641</v>
      </c>
      <c r="G40" s="7">
        <v>13577</v>
      </c>
      <c r="H40" s="7">
        <v>15920</v>
      </c>
    </row>
    <row r="41" spans="1:8" ht="11.25">
      <c r="A41" s="6" t="s">
        <v>34</v>
      </c>
      <c r="B41" s="6"/>
      <c r="C41" s="7">
        <v>6917</v>
      </c>
      <c r="D41" s="7">
        <v>12477</v>
      </c>
      <c r="E41" s="7">
        <v>8825</v>
      </c>
      <c r="F41" s="7">
        <v>4276</v>
      </c>
      <c r="G41" s="7">
        <v>2026</v>
      </c>
      <c r="H41" s="7">
        <v>3292</v>
      </c>
    </row>
    <row r="42" spans="1:8" ht="11.25">
      <c r="A42" s="6" t="s">
        <v>35</v>
      </c>
      <c r="B42" s="6"/>
      <c r="C42" s="9">
        <f aca="true" t="shared" si="8" ref="C42:H42">C40/C11</f>
        <v>0.01861516522596433</v>
      </c>
      <c r="D42" s="9">
        <f t="shared" si="8"/>
        <v>0.018092610932357436</v>
      </c>
      <c r="E42" s="9">
        <f t="shared" si="8"/>
        <v>0.014606979774672794</v>
      </c>
      <c r="F42" s="9">
        <f t="shared" si="8"/>
        <v>0.014024168327031145</v>
      </c>
      <c r="G42" s="9">
        <f t="shared" si="8"/>
        <v>0.014276701121988665</v>
      </c>
      <c r="H42" s="9">
        <f t="shared" si="8"/>
        <v>0.017974625519226187</v>
      </c>
    </row>
    <row r="43" spans="1:8" ht="11.25">
      <c r="A43" s="6" t="s">
        <v>36</v>
      </c>
      <c r="B43" s="6"/>
      <c r="C43" s="9">
        <f aca="true" t="shared" si="9" ref="C43:H43">C41/C11</f>
        <v>0.0048710410027992465</v>
      </c>
      <c r="D43" s="9">
        <f t="shared" si="9"/>
        <v>0.008838743406539692</v>
      </c>
      <c r="E43" s="9">
        <f t="shared" si="9"/>
        <v>0.006385307931022756</v>
      </c>
      <c r="F43" s="9">
        <f t="shared" si="9"/>
        <v>0.0043961105319540485</v>
      </c>
      <c r="G43" s="9">
        <f t="shared" si="9"/>
        <v>0.002130411465946014</v>
      </c>
      <c r="H43" s="9">
        <f t="shared" si="9"/>
        <v>0.0037168635181716466</v>
      </c>
    </row>
    <row r="44" spans="1:8" ht="11.25">
      <c r="A44" s="10" t="s">
        <v>37</v>
      </c>
      <c r="B44" s="6"/>
      <c r="C44" s="9">
        <f aca="true" t="shared" si="10" ref="C44:H44">(C40+C41)/C11</f>
        <v>0.023486206228763577</v>
      </c>
      <c r="D44" s="9">
        <f t="shared" si="10"/>
        <v>0.02693135433889713</v>
      </c>
      <c r="E44" s="9">
        <f t="shared" si="10"/>
        <v>0.02099228770569555</v>
      </c>
      <c r="F44" s="9">
        <f t="shared" si="10"/>
        <v>0.018420278858985194</v>
      </c>
      <c r="G44" s="9">
        <f t="shared" si="10"/>
        <v>0.016407112587934678</v>
      </c>
      <c r="H44" s="9">
        <f t="shared" si="10"/>
        <v>0.021691489037397833</v>
      </c>
    </row>
    <row r="45" spans="1:8" ht="11.25">
      <c r="A45" s="6" t="s">
        <v>38</v>
      </c>
      <c r="B45" s="6"/>
      <c r="C45" s="9">
        <v>0.0171</v>
      </c>
      <c r="D45" s="9">
        <v>0.0158</v>
      </c>
      <c r="E45" s="9">
        <v>0.0158</v>
      </c>
      <c r="F45" s="9">
        <v>0.0189</v>
      </c>
      <c r="G45" s="9">
        <v>0.0175</v>
      </c>
      <c r="H45" s="9">
        <v>0.0169</v>
      </c>
    </row>
    <row r="46" spans="1:8" ht="11.25">
      <c r="A46" s="2" t="s">
        <v>39</v>
      </c>
      <c r="B46" s="2"/>
      <c r="C46" s="11">
        <v>0.7271</v>
      </c>
      <c r="D46" s="11">
        <v>0.5861</v>
      </c>
      <c r="E46" s="11">
        <v>0.7547</v>
      </c>
      <c r="F46" s="11">
        <v>1.0258</v>
      </c>
      <c r="G46" s="11">
        <v>1.0677</v>
      </c>
      <c r="H46" s="11">
        <v>0.7808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C23/(C11+C14)</f>
        <v>0.1483736466935597</v>
      </c>
      <c r="D48" s="9">
        <f t="shared" si="11"/>
        <v>0.14366502769552422</v>
      </c>
      <c r="E48" s="9">
        <f t="shared" si="11"/>
        <v>0.13949026504595452</v>
      </c>
      <c r="F48" s="9">
        <f t="shared" si="11"/>
        <v>0.12798415248618292</v>
      </c>
      <c r="G48" s="9">
        <f t="shared" si="11"/>
        <v>0.12833985390068112</v>
      </c>
      <c r="H48" s="9">
        <f t="shared" si="11"/>
        <v>0.12955785981820053</v>
      </c>
    </row>
    <row r="49" spans="1:8" ht="11.25">
      <c r="A49" s="2" t="s">
        <v>42</v>
      </c>
      <c r="B49" s="2"/>
      <c r="C49" s="11">
        <f aca="true" t="shared" si="12" ref="C49:H49">C23/C11</f>
        <v>0.17957712012112462</v>
      </c>
      <c r="D49" s="11">
        <f t="shared" si="12"/>
        <v>0.17796569346271604</v>
      </c>
      <c r="E49" s="11">
        <f t="shared" si="12"/>
        <v>0.1766997400293326</v>
      </c>
      <c r="F49" s="11">
        <f t="shared" si="12"/>
        <v>0.17681699390754185</v>
      </c>
      <c r="G49" s="11">
        <f t="shared" si="12"/>
        <v>0.1770943963658924</v>
      </c>
      <c r="H49" s="11">
        <f t="shared" si="12"/>
        <v>0.16192066551276796</v>
      </c>
    </row>
    <row r="50" spans="1:8" ht="11.25">
      <c r="A50" s="4" t="s">
        <v>43</v>
      </c>
      <c r="B50" s="6"/>
      <c r="C50" s="6"/>
      <c r="D50" s="6"/>
      <c r="E50" s="6"/>
      <c r="F50" s="6"/>
      <c r="G50" s="6"/>
      <c r="H50" s="6"/>
    </row>
    <row r="51" spans="1:8" ht="11.25">
      <c r="A51" s="6" t="s">
        <v>44</v>
      </c>
      <c r="B51" s="6"/>
      <c r="C51" s="12">
        <f aca="true" t="shared" si="13" ref="C51:H51">C10/C15</f>
        <v>0.31098305996452813</v>
      </c>
      <c r="D51" s="12">
        <f t="shared" si="13"/>
        <v>0.25455813406375505</v>
      </c>
      <c r="E51" s="12">
        <f t="shared" si="13"/>
        <v>0.24123349726526944</v>
      </c>
      <c r="F51" s="12">
        <f t="shared" si="13"/>
        <v>0.2948397503352091</v>
      </c>
      <c r="G51" s="12">
        <f t="shared" si="13"/>
        <v>0.33316512086467537</v>
      </c>
      <c r="H51" s="12">
        <f t="shared" si="13"/>
        <v>0.3885589478668538</v>
      </c>
    </row>
    <row r="52" spans="1:8" ht="11.25">
      <c r="A52" s="6" t="s">
        <v>45</v>
      </c>
      <c r="B52" s="6"/>
      <c r="C52" s="12">
        <f aca="true" t="shared" si="14" ref="C52:H52">C10/C9</f>
        <v>0.2279263525066222</v>
      </c>
      <c r="D52" s="12">
        <f t="shared" si="14"/>
        <v>0.1865965371960852</v>
      </c>
      <c r="E52" s="12">
        <f t="shared" si="14"/>
        <v>0.18176223744209827</v>
      </c>
      <c r="F52" s="12">
        <f t="shared" si="14"/>
        <v>0.21983716792175897</v>
      </c>
      <c r="G52" s="12">
        <f t="shared" si="14"/>
        <v>0.24915605903463311</v>
      </c>
      <c r="H52" s="12">
        <f t="shared" si="14"/>
        <v>0.2808802841440678</v>
      </c>
    </row>
    <row r="53" spans="1:8" ht="11.25">
      <c r="A53" s="2" t="s">
        <v>46</v>
      </c>
      <c r="B53" s="2"/>
      <c r="C53" s="13">
        <f aca="true" t="shared" si="15" ref="C53:H53">(C10+C14)/C15</f>
        <v>0.4833419040643734</v>
      </c>
      <c r="D53" s="13">
        <f t="shared" si="15"/>
        <v>0.4568276587214899</v>
      </c>
      <c r="E53" s="13">
        <f t="shared" si="15"/>
        <v>0.4566199641756724</v>
      </c>
      <c r="F53" s="13">
        <f t="shared" si="15"/>
        <v>0.5708371415419099</v>
      </c>
      <c r="G53" s="13">
        <f t="shared" si="15"/>
        <v>0.5969991966698313</v>
      </c>
      <c r="H53" s="13">
        <f t="shared" si="15"/>
        <v>0.5773158319078232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9">
        <f>(C38)/C26</f>
        <v>0.024634112623926934</v>
      </c>
      <c r="D55" s="9">
        <f>((D38)/0.75)/D26</f>
        <v>0.02341492465489606</v>
      </c>
      <c r="E55" s="9">
        <f>((E38)/0.5)/E26</f>
        <v>0.021058729135237313</v>
      </c>
      <c r="F55" s="9">
        <f>((F38)/0.25)/F26</f>
        <v>0.02587156901547841</v>
      </c>
      <c r="G55" s="9">
        <f>G38/G26</f>
        <v>0.02815072139788822</v>
      </c>
      <c r="H55" s="9">
        <f>H38/H26</f>
        <v>0.026404410402646402</v>
      </c>
    </row>
    <row r="56" spans="1:8" ht="11.25">
      <c r="A56" s="6" t="s">
        <v>49</v>
      </c>
      <c r="B56" s="6"/>
      <c r="C56" s="9">
        <f>(C38)/C25</f>
        <v>0.01779828467672671</v>
      </c>
      <c r="D56" s="9">
        <f>((D38)/0.75)/D25</f>
        <v>0.017659672327557146</v>
      </c>
      <c r="E56" s="9">
        <f>((E38)/0.5)/E25</f>
        <v>0.015627149614965377</v>
      </c>
      <c r="F56" s="9">
        <f>((F38)/0.25)/F25</f>
        <v>0.018508858218101845</v>
      </c>
      <c r="G56" s="9">
        <f>G38/G25</f>
        <v>0.019725850590773322</v>
      </c>
      <c r="H56" s="9">
        <f>H38/H25</f>
        <v>0.01792105272028017</v>
      </c>
    </row>
    <row r="57" spans="1:8" ht="11.25">
      <c r="A57" s="6" t="s">
        <v>50</v>
      </c>
      <c r="B57" s="6"/>
      <c r="C57" s="9">
        <f>(C38)/C29</f>
        <v>0.1763359698076846</v>
      </c>
      <c r="D57" s="9">
        <f>((D38)/0.75)/D29</f>
        <v>0.17160073164613074</v>
      </c>
      <c r="E57" s="9">
        <f>((E38)/0.5)/E29</f>
        <v>0.1564624649019019</v>
      </c>
      <c r="F57" s="9">
        <f>((F38)/0.25)/F29</f>
        <v>0.20239767666013594</v>
      </c>
      <c r="G57" s="9">
        <f>G38/G29</f>
        <v>0.218396739217579</v>
      </c>
      <c r="H57" s="9">
        <f>H38/H29</f>
        <v>0.2109765921058375</v>
      </c>
    </row>
    <row r="58" spans="1:8" ht="11.25">
      <c r="A58" s="6" t="s">
        <v>51</v>
      </c>
      <c r="B58" s="6"/>
      <c r="C58" s="9">
        <f>(C31)/C25</f>
        <v>0.08412182947792032</v>
      </c>
      <c r="D58" s="9">
        <f>((D31)/0.75)/D25</f>
        <v>0.08385687484256157</v>
      </c>
      <c r="E58" s="9">
        <f>((E31)/0.5)/E25</f>
        <v>0.07648988317181248</v>
      </c>
      <c r="F58" s="9">
        <f>((F31)/0.25)/F25</f>
        <v>0.0866957499852375</v>
      </c>
      <c r="G58" s="9">
        <f>G31/G25</f>
        <v>0.08167768501203791</v>
      </c>
      <c r="H58" s="9">
        <f>H31/H25</f>
        <v>0.08465176166833514</v>
      </c>
    </row>
    <row r="59" spans="1:8" ht="11.25">
      <c r="A59" s="6" t="s">
        <v>52</v>
      </c>
      <c r="B59" s="6"/>
      <c r="C59" s="9">
        <f>(C32)/C25</f>
        <v>0.05683465430722351</v>
      </c>
      <c r="D59" s="9">
        <f>((D32)/0.75)/D25</f>
        <v>0.056939259158999965</v>
      </c>
      <c r="E59" s="9">
        <f>((E32)/0.5)/E25</f>
        <v>0.052331045618073675</v>
      </c>
      <c r="F59" s="9">
        <f>((F32)/0.25)/F25</f>
        <v>0.059250468439222444</v>
      </c>
      <c r="G59" s="9">
        <f>G32/G25</f>
        <v>0.052177252851909266</v>
      </c>
      <c r="H59" s="9">
        <f>H32/H25</f>
        <v>0.05540601121076989</v>
      </c>
    </row>
    <row r="60" spans="1:8" ht="11.25">
      <c r="A60" s="6" t="s">
        <v>53</v>
      </c>
      <c r="B60" s="6"/>
      <c r="C60" s="9">
        <f>(C33)/C25</f>
        <v>0.02728717517069681</v>
      </c>
      <c r="D60" s="9">
        <f>((D33)/0.75)/D25</f>
        <v>0.026917615683561612</v>
      </c>
      <c r="E60" s="9">
        <f>((E33)/0.5)/E25</f>
        <v>0.0241588375537388</v>
      </c>
      <c r="F60" s="9">
        <f>((F33)/0.25)/F25</f>
        <v>0.02744528154601506</v>
      </c>
      <c r="G60" s="9">
        <f>G33/G25</f>
        <v>0.02950043216012865</v>
      </c>
      <c r="H60" s="9">
        <f>H33/H25</f>
        <v>0.029245750457565247</v>
      </c>
    </row>
    <row r="61" spans="1:8" ht="11.25">
      <c r="A61" s="6" t="s">
        <v>54</v>
      </c>
      <c r="B61" s="6"/>
      <c r="C61" s="9">
        <f>(C36)/(C35)</f>
        <v>0.4860856252510885</v>
      </c>
      <c r="D61" s="9">
        <f>((D36)/0.75)/((D35)/0.75)</f>
        <v>0.5176020695084917</v>
      </c>
      <c r="E61" s="9">
        <f>((E36)/0.5)/((E35)/0.5)</f>
        <v>0.5279715534323173</v>
      </c>
      <c r="F61" s="9">
        <f>(F36/0.25)/(F35/0.25)</f>
        <v>0.5113806280112976</v>
      </c>
      <c r="G61" s="9">
        <f>G36/G35</f>
        <v>0.5037086092715232</v>
      </c>
      <c r="H61" s="9">
        <f>H36/H35</f>
        <v>0.5289076316147463</v>
      </c>
    </row>
    <row r="62" spans="1:8" ht="11.25">
      <c r="A62" s="2" t="s">
        <v>55</v>
      </c>
      <c r="B62" s="2"/>
      <c r="C62" s="11">
        <f>(C34)/C25</f>
        <v>0.016621648906284155</v>
      </c>
      <c r="D62" s="11">
        <f>((D34)/0.75)/D25</f>
        <v>0.014681302852836482</v>
      </c>
      <c r="E62" s="11">
        <f>((E34)/0.5)/E25</f>
        <v>0.012972398754867422</v>
      </c>
      <c r="F62" s="11">
        <f>(F34/0.255)/F25</f>
        <v>0.013887336861704168</v>
      </c>
      <c r="G62" s="11">
        <f>G34/G25</f>
        <v>0.014236953514400318</v>
      </c>
      <c r="H62" s="11">
        <f>H34/H25</f>
        <v>0.015353968430525921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1281</v>
      </c>
      <c r="D64" s="7">
        <v>1279</v>
      </c>
      <c r="E64" s="7">
        <v>1238</v>
      </c>
      <c r="F64" s="7">
        <v>941</v>
      </c>
      <c r="G64" s="7">
        <v>955</v>
      </c>
      <c r="H64" s="7">
        <v>904</v>
      </c>
    </row>
    <row r="65" spans="1:8" ht="11.25">
      <c r="A65" s="6" t="s">
        <v>58</v>
      </c>
      <c r="B65" s="6"/>
      <c r="C65" s="7">
        <v>34</v>
      </c>
      <c r="D65" s="7">
        <v>34</v>
      </c>
      <c r="E65" s="7">
        <v>34</v>
      </c>
      <c r="F65" s="7">
        <v>22</v>
      </c>
      <c r="G65" s="7">
        <v>22</v>
      </c>
      <c r="H65" s="7">
        <v>21</v>
      </c>
    </row>
    <row r="66" spans="1:8" ht="11.25">
      <c r="A66" s="6" t="s">
        <v>59</v>
      </c>
      <c r="B66" s="6"/>
      <c r="C66" s="7">
        <f aca="true" t="shared" si="16" ref="C66:H66">C11/C64</f>
        <v>1108.528493364559</v>
      </c>
      <c r="D66" s="7">
        <f t="shared" si="16"/>
        <v>1103.6950742767788</v>
      </c>
      <c r="E66" s="7">
        <f t="shared" si="16"/>
        <v>1116.3804523424878</v>
      </c>
      <c r="F66" s="7">
        <f t="shared" si="16"/>
        <v>1033.664187035069</v>
      </c>
      <c r="G66" s="7">
        <f t="shared" si="16"/>
        <v>995.8010471204188</v>
      </c>
      <c r="H66" s="7">
        <f t="shared" si="16"/>
        <v>979.7488938053098</v>
      </c>
    </row>
    <row r="67" spans="1:8" ht="11.25">
      <c r="A67" s="6" t="s">
        <v>60</v>
      </c>
      <c r="B67" s="6"/>
      <c r="C67" s="7">
        <f aca="true" t="shared" si="17" ref="C67:H67">C15/C64</f>
        <v>1352.5690866510538</v>
      </c>
      <c r="D67" s="7">
        <f t="shared" si="17"/>
        <v>1302.7771696638</v>
      </c>
      <c r="E67" s="7">
        <f t="shared" si="17"/>
        <v>1382.62197092084</v>
      </c>
      <c r="F67" s="7">
        <f t="shared" si="17"/>
        <v>1428.9936238044634</v>
      </c>
      <c r="G67" s="7">
        <f t="shared" si="17"/>
        <v>1433.8219895287957</v>
      </c>
      <c r="H67" s="7">
        <f t="shared" si="17"/>
        <v>1296.5652654867256</v>
      </c>
    </row>
    <row r="68" spans="1:8" ht="11.25">
      <c r="A68" s="2" t="s">
        <v>61</v>
      </c>
      <c r="B68" s="2"/>
      <c r="C68" s="8">
        <f aca="true" t="shared" si="18" ref="C68:H68">C38/C64</f>
        <v>29.142857142857142</v>
      </c>
      <c r="D68" s="8">
        <f t="shared" si="18"/>
        <v>20.657544956997654</v>
      </c>
      <c r="E68" s="8">
        <f t="shared" si="18"/>
        <v>12.524232633279484</v>
      </c>
      <c r="F68" s="8">
        <f t="shared" si="18"/>
        <v>8.535600425079702</v>
      </c>
      <c r="G68" s="8">
        <f t="shared" si="18"/>
        <v>35.65549738219895</v>
      </c>
      <c r="H68" s="8">
        <f t="shared" si="18"/>
        <v>29.4070796460177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(C9-G9)/G9</f>
        <v>0.29111252746460525</v>
      </c>
      <c r="D70" s="9">
        <f>(D9-1716526)/1716526</f>
        <v>0.32426132782142536</v>
      </c>
      <c r="E70" s="9">
        <f>(E9-1334899)/1334899</f>
        <v>0.7018044061760478</v>
      </c>
      <c r="F70" s="9">
        <f>(F9-1668182)/1668182</f>
        <v>0.08108887399576305</v>
      </c>
      <c r="G70" s="9">
        <f>(G9-H9)/H9</f>
        <v>0.12924509276065402</v>
      </c>
      <c r="H70" s="9">
        <f>(H9-1345359)/1345359</f>
        <v>0.2052032208503455</v>
      </c>
    </row>
    <row r="71" spans="1:8" ht="11.25">
      <c r="A71" s="6" t="s">
        <v>64</v>
      </c>
      <c r="B71" s="6"/>
      <c r="C71" s="9">
        <f>(C11-G11)/G11</f>
        <v>0.4932070789387901</v>
      </c>
      <c r="D71" s="9">
        <f>D11/941622-1</f>
        <v>0.49914296819742954</v>
      </c>
      <c r="E71" s="9">
        <f>E11/923530-1</f>
        <v>0.4965177092243891</v>
      </c>
      <c r="F71" s="9">
        <f>F11/918459-1</f>
        <v>0.05903257521566019</v>
      </c>
      <c r="G71" s="9">
        <f>(G11-H11)/H11</f>
        <v>0.07372419111362515</v>
      </c>
      <c r="H71" s="9">
        <f>(H11-792160)/792160</f>
        <v>0.11807336901636033</v>
      </c>
    </row>
    <row r="72" spans="1:8" ht="11.25">
      <c r="A72" s="6"/>
      <c r="B72" s="6" t="s">
        <v>13</v>
      </c>
      <c r="C72" s="9">
        <f>(C12-G12)/G12</f>
        <v>0.46992183855399206</v>
      </c>
      <c r="D72" s="9">
        <f>D12/934009-1</f>
        <v>0.47906390623644945</v>
      </c>
      <c r="E72" s="9">
        <f>E12/922277-1</f>
        <v>0.47110033102853044</v>
      </c>
      <c r="F72" s="9">
        <f>F12/917959-1</f>
        <v>0.04532882187548681</v>
      </c>
      <c r="G72" s="9">
        <f>(G12-H12)/H12</f>
        <v>0.06546110154672016</v>
      </c>
      <c r="H72" s="9">
        <f>(H12-792160)/792160</f>
        <v>0.11748636639062815</v>
      </c>
    </row>
    <row r="73" spans="1:8" ht="11.25">
      <c r="A73" s="6"/>
      <c r="B73" s="6" t="s">
        <v>14</v>
      </c>
      <c r="C73" s="9">
        <f>(C13-G13)/G13</f>
        <v>3.303813667775787</v>
      </c>
      <c r="D73" s="9">
        <f>D13/7613-1</f>
        <v>2.9625640352029423</v>
      </c>
      <c r="E73" s="9">
        <f>E13/1253-1</f>
        <v>19.20510774142059</v>
      </c>
      <c r="F73" s="9">
        <f>F13/500-1</f>
        <v>25.218</v>
      </c>
      <c r="G73" s="9">
        <f>(G13-H13)/H13</f>
        <v>15.804301075268818</v>
      </c>
      <c r="H73" s="9">
        <v>0</v>
      </c>
    </row>
    <row r="74" spans="1:8" ht="11.25">
      <c r="A74" s="6" t="s">
        <v>65</v>
      </c>
      <c r="B74" s="6"/>
      <c r="C74" s="9">
        <f>(C15-G15)/G15</f>
        <v>0.26534798802307746</v>
      </c>
      <c r="D74" s="9">
        <f>D15/1252640-1</f>
        <v>0.3301922340017882</v>
      </c>
      <c r="E74" s="9">
        <f>E15/1234611-1</f>
        <v>0.38641726017344724</v>
      </c>
      <c r="F74" s="9">
        <f>F15/1211890-1</f>
        <v>0.10957512645537126</v>
      </c>
      <c r="G74" s="9">
        <f>(G15-H15)/H15</f>
        <v>0.1682500138640639</v>
      </c>
      <c r="H74" s="9">
        <f>(H15-985738)/985738</f>
        <v>0.18905327784867784</v>
      </c>
    </row>
    <row r="75" spans="1:8" ht="11.25">
      <c r="A75" s="6"/>
      <c r="B75" s="6" t="s">
        <v>13</v>
      </c>
      <c r="C75" s="9">
        <f>(C16-G16)/G16</f>
        <v>0.2552030787894788</v>
      </c>
      <c r="D75" s="9">
        <f>D16/1161998-1</f>
        <v>0.3111279021134288</v>
      </c>
      <c r="E75" s="9">
        <f>E16/1143706-1</f>
        <v>0.3569370100357958</v>
      </c>
      <c r="F75" s="9">
        <f>F16/1125039-1</f>
        <v>0.09421006738433069</v>
      </c>
      <c r="G75" s="9">
        <f>(G16-H16)/H16</f>
        <v>0.17062052523528157</v>
      </c>
      <c r="H75" s="9">
        <f>(H16-956394)/956394</f>
        <v>0.1367783570369534</v>
      </c>
    </row>
    <row r="76" spans="1:8" ht="11.25">
      <c r="A76" s="6"/>
      <c r="B76" s="6" t="s">
        <v>14</v>
      </c>
      <c r="C76" s="9">
        <f>(C20-G20)/G20</f>
        <v>0.3990185522610568</v>
      </c>
      <c r="D76" s="9">
        <f>D20/90642-1</f>
        <v>0.574590145848503</v>
      </c>
      <c r="E76" s="9">
        <f>E20/90906-1</f>
        <v>0.7572987481574374</v>
      </c>
      <c r="F76" s="9">
        <f>F20/86851-1</f>
        <v>0.30860899701788114</v>
      </c>
      <c r="G76" s="9">
        <f>(G20-H20)/H20</f>
        <v>0.1378891938694971</v>
      </c>
      <c r="H76" s="9">
        <f>(H17-29343)/29343</f>
        <v>-1</v>
      </c>
    </row>
    <row r="77" spans="1:8" ht="11.25">
      <c r="A77" s="6" t="s">
        <v>66</v>
      </c>
      <c r="B77" s="6"/>
      <c r="C77" s="9">
        <f>(C23-D23)/D23</f>
        <v>0.015058454508182039</v>
      </c>
      <c r="D77" s="9">
        <f>(D23-159360)/159360</f>
        <v>0.5764369979919679</v>
      </c>
      <c r="E77" s="9">
        <f>(E23-152176)/152176</f>
        <v>0.6048062769424877</v>
      </c>
      <c r="F77" s="9">
        <f>(F23-145487)/145487</f>
        <v>0.18213998501584333</v>
      </c>
      <c r="G77" s="9">
        <f>(G23-H23)/H23</f>
        <v>0.1743438484924553</v>
      </c>
      <c r="H77" s="9">
        <f>(H23-108597)/108597</f>
        <v>0.3205889665460372</v>
      </c>
    </row>
    <row r="78" spans="1:8" ht="11.25">
      <c r="A78" s="2" t="s">
        <v>67</v>
      </c>
      <c r="B78" s="2"/>
      <c r="C78" s="11">
        <f>C38/G38-1</f>
        <v>0.09635546679980034</v>
      </c>
      <c r="D78" s="11">
        <f>D38/21968-1</f>
        <v>0.20270393299344502</v>
      </c>
      <c r="E78" s="11">
        <f>E38/14284-1</f>
        <v>0.08548025763091571</v>
      </c>
      <c r="F78" s="11">
        <f>F38/6969-1</f>
        <v>0.15253264456880467</v>
      </c>
      <c r="G78" s="11">
        <f>(G38-H38)/H38</f>
        <v>0.28088323803791754</v>
      </c>
      <c r="H78" s="11">
        <f>(H38-18750)/18750</f>
        <v>0.4178133333333333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2002-05-02T19:09:07Z</cp:lastPrinted>
  <dcterms:created xsi:type="dcterms:W3CDTF">2002-03-08T15:06:56Z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