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Dresdner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<sst xmlns="http://schemas.openxmlformats.org/spreadsheetml/2006/main" count="80" uniqueCount="68">
  <si>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18-38    DRESDNER BANK LATEINAMERIKA, A.G.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</si>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</sst>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314325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6" sqref="B16"/>
    </sheetView>
  </sheetViews>
  <sheetFormatPr defaultColWidth="11.421875" defaultRowHeight="12.75"/>
  <cols>
    <col min="1" max="1" width="3.7109375" style="1" customWidth="1"/>
    <col min="2" max="2" width="33.421875" style="1" customWidth="1"/>
    <col min="3" max="3" width="11.00390625" style="1" customWidth="1"/>
    <col min="4" max="4" width="9.421875" style="1" customWidth="1"/>
    <col min="5" max="5" width="9.57421875" style="1" customWidth="1"/>
    <col min="6" max="6" width="9.28125" style="1" customWidth="1"/>
    <col min="7" max="7" width="10.7109375" style="1" customWidth="1"/>
    <col min="8" max="8" width="10.57421875" style="1" customWidth="1"/>
    <col min="9" max="16384" width="11.421875" style="1" customWidth="1"/>
  </cols>
  <sheetData>
    <row r="1" spans="2:8" s="2" customFormat="1" ht="11.25">
      <c r="B1" s="14"/>
      <c r="C1" s="14"/>
      <c r="D1" s="14"/>
      <c r="E1" s="14"/>
      <c r="G1" s="14"/>
      <c r="H1" s="14"/>
    </row>
    <row r="2" spans="2:8" s="2" customFormat="1" ht="11.25">
      <c r="B2" s="14"/>
      <c r="C2" s="14"/>
      <c r="D2" s="14"/>
      <c r="E2" s="14"/>
      <c r="F2" s="14" t="s">
        <v>0</v>
      </c>
      <c r="G2" s="14"/>
      <c r="H2" s="14"/>
    </row>
    <row r="3" spans="2:8" s="2" customFormat="1" ht="11.25">
      <c r="B3" s="15"/>
      <c r="C3" s="15"/>
      <c r="D3" s="15"/>
      <c r="E3" s="15"/>
      <c r="F3" s="14" t="s">
        <v>1</v>
      </c>
      <c r="G3" s="15"/>
      <c r="H3" s="15"/>
    </row>
    <row r="4" spans="1:8" s="2" customFormat="1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s="2" customFormat="1" ht="11.25">
      <c r="A5" s="15"/>
      <c r="B5" s="15"/>
      <c r="C5" s="15"/>
      <c r="D5" s="15"/>
      <c r="E5" s="15"/>
      <c r="F5" s="15"/>
      <c r="G5" s="15"/>
      <c r="H5" s="15"/>
    </row>
    <row r="6" spans="1:8" s="2" customFormat="1" ht="11.25">
      <c r="A6" s="16"/>
      <c r="B6" s="16"/>
      <c r="C6" s="16"/>
      <c r="D6" s="16"/>
      <c r="E6" s="16"/>
      <c r="F6" s="16"/>
      <c r="G6" s="16"/>
      <c r="H6" s="16"/>
    </row>
    <row r="7" spans="1:8" s="2" customFormat="1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s="2" customFormat="1" ht="11.25">
      <c r="A8" s="5" t="s">
        <v>9</v>
      </c>
      <c r="B8" s="5"/>
      <c r="C8" s="6"/>
      <c r="D8" s="6"/>
      <c r="E8" s="6"/>
      <c r="F8" s="6"/>
      <c r="G8" s="6"/>
      <c r="H8" s="6"/>
    </row>
    <row r="9" spans="1:8" s="2" customFormat="1" ht="11.25">
      <c r="A9" s="2" t="s">
        <v>10</v>
      </c>
      <c r="C9" s="7">
        <v>297358</v>
      </c>
      <c r="D9" s="7">
        <v>205362</v>
      </c>
      <c r="E9" s="7">
        <v>204698</v>
      </c>
      <c r="F9" s="7">
        <v>192561</v>
      </c>
      <c r="G9" s="7">
        <v>188407</v>
      </c>
      <c r="H9" s="7">
        <v>213326</v>
      </c>
    </row>
    <row r="10" spans="1:8" s="2" customFormat="1" ht="11.25">
      <c r="A10" s="2" t="s">
        <v>11</v>
      </c>
      <c r="C10" s="7">
        <v>12641</v>
      </c>
      <c r="D10" s="7">
        <v>12066</v>
      </c>
      <c r="E10" s="7">
        <v>12536</v>
      </c>
      <c r="F10" s="7">
        <v>18082</v>
      </c>
      <c r="G10" s="7">
        <v>23101</v>
      </c>
      <c r="H10" s="7">
        <v>13857</v>
      </c>
    </row>
    <row r="11" spans="1:8" s="2" customFormat="1" ht="11.25">
      <c r="A11" s="2" t="s">
        <v>12</v>
      </c>
      <c r="C11" s="7">
        <f aca="true" t="shared" si="0" ref="C11:H11">C12+C13</f>
        <v>85502</v>
      </c>
      <c r="D11" s="7">
        <f t="shared" si="0"/>
        <v>85478</v>
      </c>
      <c r="E11" s="7">
        <f t="shared" si="0"/>
        <v>73398</v>
      </c>
      <c r="F11" s="7">
        <f t="shared" si="0"/>
        <v>69522</v>
      </c>
      <c r="G11" s="7">
        <f t="shared" si="0"/>
        <v>94430</v>
      </c>
      <c r="H11" s="7">
        <f t="shared" si="0"/>
        <v>81186</v>
      </c>
    </row>
    <row r="12" spans="2:8" s="2" customFormat="1" ht="11.25">
      <c r="B12" s="2" t="s">
        <v>13</v>
      </c>
      <c r="C12" s="7">
        <v>85502</v>
      </c>
      <c r="D12" s="7">
        <v>85478</v>
      </c>
      <c r="E12" s="7">
        <v>73398</v>
      </c>
      <c r="F12" s="7">
        <v>69522</v>
      </c>
      <c r="G12" s="7">
        <v>94430</v>
      </c>
      <c r="H12" s="7">
        <v>81186</v>
      </c>
    </row>
    <row r="13" spans="2:8" s="2" customFormat="1" ht="11.25">
      <c r="B13" s="2" t="s">
        <v>14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s="2" customFormat="1" ht="11.25">
      <c r="A14" s="2" t="s">
        <v>15</v>
      </c>
      <c r="C14" s="7">
        <v>2116</v>
      </c>
      <c r="D14" s="7">
        <v>3500</v>
      </c>
      <c r="E14" s="7">
        <v>3000</v>
      </c>
      <c r="F14" s="7">
        <v>3000</v>
      </c>
      <c r="G14" s="7">
        <v>3000</v>
      </c>
      <c r="H14" s="7">
        <v>0</v>
      </c>
    </row>
    <row r="15" spans="1:8" s="2" customFormat="1" ht="11.25">
      <c r="A15" s="2" t="s">
        <v>16</v>
      </c>
      <c r="C15" s="7">
        <f aca="true" t="shared" si="1" ref="C15:H15">C16+C20</f>
        <v>292120</v>
      </c>
      <c r="D15" s="7">
        <f t="shared" si="1"/>
        <v>194722</v>
      </c>
      <c r="E15" s="7">
        <f t="shared" si="1"/>
        <v>195038</v>
      </c>
      <c r="F15" s="7">
        <f t="shared" si="1"/>
        <v>178517</v>
      </c>
      <c r="G15" s="7">
        <f t="shared" si="1"/>
        <v>181580</v>
      </c>
      <c r="H15" s="7">
        <f t="shared" si="1"/>
        <v>194310</v>
      </c>
    </row>
    <row r="16" spans="2:8" s="2" customFormat="1" ht="11.25">
      <c r="B16" s="2" t="s">
        <v>13</v>
      </c>
      <c r="C16" s="7">
        <f aca="true" t="shared" si="2" ref="C16:H16">SUM(C17:C19)</f>
        <v>292120</v>
      </c>
      <c r="D16" s="7">
        <f t="shared" si="2"/>
        <v>194722</v>
      </c>
      <c r="E16" s="7">
        <f t="shared" si="2"/>
        <v>195038</v>
      </c>
      <c r="F16" s="7">
        <f t="shared" si="2"/>
        <v>178517</v>
      </c>
      <c r="G16" s="7">
        <f t="shared" si="2"/>
        <v>181580</v>
      </c>
      <c r="H16" s="7">
        <f t="shared" si="2"/>
        <v>194310</v>
      </c>
    </row>
    <row r="17" spans="2:8" s="2" customFormat="1" ht="11.25">
      <c r="B17" s="2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2:8" s="2" customFormat="1" ht="11.25">
      <c r="B18" s="2" t="s">
        <v>18</v>
      </c>
      <c r="C18" s="7">
        <v>17436</v>
      </c>
      <c r="D18" s="7">
        <v>18088</v>
      </c>
      <c r="E18" s="7">
        <v>15806</v>
      </c>
      <c r="F18" s="7">
        <v>12366</v>
      </c>
      <c r="G18" s="7">
        <v>14494</v>
      </c>
      <c r="H18" s="7">
        <v>9052</v>
      </c>
    </row>
    <row r="19" spans="2:8" s="2" customFormat="1" ht="11.25">
      <c r="B19" s="2" t="s">
        <v>19</v>
      </c>
      <c r="C19" s="7">
        <v>274684</v>
      </c>
      <c r="D19" s="7">
        <v>176634</v>
      </c>
      <c r="E19" s="7">
        <v>179232</v>
      </c>
      <c r="F19" s="7">
        <v>166151</v>
      </c>
      <c r="G19" s="7">
        <v>167086</v>
      </c>
      <c r="H19" s="7">
        <v>185258</v>
      </c>
    </row>
    <row r="20" spans="2:8" s="2" customFormat="1" ht="11.25">
      <c r="B20" s="2" t="s">
        <v>14</v>
      </c>
      <c r="C20" s="7">
        <f aca="true" t="shared" si="3" ref="C20:H20">SUM(C21:C22)</f>
        <v>0</v>
      </c>
      <c r="D20" s="7">
        <f t="shared" si="3"/>
        <v>0</v>
      </c>
      <c r="E20" s="7">
        <f t="shared" si="3"/>
        <v>0</v>
      </c>
      <c r="F20" s="7">
        <f t="shared" si="3"/>
        <v>0</v>
      </c>
      <c r="G20" s="7">
        <f t="shared" si="3"/>
        <v>0</v>
      </c>
      <c r="H20" s="7">
        <f t="shared" si="3"/>
        <v>0</v>
      </c>
    </row>
    <row r="21" spans="2:8" s="2" customFormat="1" ht="11.25">
      <c r="B21" s="2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2:8" s="2" customFormat="1" ht="11.25">
      <c r="B22" s="2" t="s">
        <v>19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s="2" customFormat="1" ht="11.25">
      <c r="A23" s="3" t="s">
        <v>20</v>
      </c>
      <c r="B23" s="3"/>
      <c r="C23" s="8">
        <v>-1709</v>
      </c>
      <c r="D23" s="8">
        <v>7605</v>
      </c>
      <c r="E23" s="8">
        <v>6553</v>
      </c>
      <c r="F23" s="8">
        <v>10670</v>
      </c>
      <c r="G23" s="8">
        <v>3466</v>
      </c>
      <c r="H23" s="8">
        <v>14314</v>
      </c>
    </row>
    <row r="24" spans="1:8" s="2" customFormat="1" ht="11.25">
      <c r="A24" s="5" t="s">
        <v>21</v>
      </c>
      <c r="C24" s="7"/>
      <c r="D24" s="7"/>
      <c r="E24" s="7"/>
      <c r="F24" s="7"/>
      <c r="G24" s="7"/>
      <c r="H24" s="7"/>
    </row>
    <row r="25" spans="1:8" s="2" customFormat="1" ht="11.25">
      <c r="A25" s="2" t="s">
        <v>10</v>
      </c>
      <c r="C25" s="7">
        <f>(C9+G9)/2</f>
        <v>242882.5</v>
      </c>
      <c r="D25" s="7">
        <f>(D9+194956)/2</f>
        <v>200159</v>
      </c>
      <c r="E25" s="7">
        <f>(E9+239883)/2</f>
        <v>222290.5</v>
      </c>
      <c r="F25" s="7">
        <f>(F9+228816)/2</f>
        <v>210688.5</v>
      </c>
      <c r="G25" s="7">
        <f>(G9+H9)/2</f>
        <v>200866.5</v>
      </c>
      <c r="H25" s="7">
        <f>(H9+1873530)/2</f>
        <v>1043428</v>
      </c>
    </row>
    <row r="26" spans="1:8" s="2" customFormat="1" ht="11.25">
      <c r="A26" s="2" t="s">
        <v>22</v>
      </c>
      <c r="C26" s="7">
        <f aca="true" t="shared" si="4" ref="C26:H26">C27+C28</f>
        <v>92524</v>
      </c>
      <c r="D26" s="7">
        <f t="shared" si="4"/>
        <v>84814.5</v>
      </c>
      <c r="E26" s="7">
        <f t="shared" si="4"/>
        <v>85859</v>
      </c>
      <c r="F26" s="7">
        <f t="shared" si="4"/>
        <v>75698</v>
      </c>
      <c r="G26" s="7">
        <f t="shared" si="4"/>
        <v>89308</v>
      </c>
      <c r="H26" s="7">
        <f t="shared" si="4"/>
        <v>729819</v>
      </c>
    </row>
    <row r="27" spans="2:8" s="2" customFormat="1" ht="11.25">
      <c r="B27" s="2" t="s">
        <v>12</v>
      </c>
      <c r="C27" s="7">
        <f>(C11+G11)/2</f>
        <v>89966</v>
      </c>
      <c r="D27" s="7">
        <f>(D11+78651)/2</f>
        <v>82064.5</v>
      </c>
      <c r="E27" s="7">
        <f>(E11+93320)/2</f>
        <v>83359</v>
      </c>
      <c r="F27" s="7">
        <f>(F11+76874)/2</f>
        <v>73198</v>
      </c>
      <c r="G27" s="7">
        <f>(G11+H11)/2</f>
        <v>87808</v>
      </c>
      <c r="H27" s="7">
        <f>(H11+989381)/2</f>
        <v>535283.5</v>
      </c>
    </row>
    <row r="28" spans="2:8" s="2" customFormat="1" ht="11.25">
      <c r="B28" s="2" t="s">
        <v>15</v>
      </c>
      <c r="C28" s="7">
        <f>(C14+G14)/2</f>
        <v>2558</v>
      </c>
      <c r="D28" s="7">
        <f>(D14+2000)/2</f>
        <v>2750</v>
      </c>
      <c r="E28" s="7">
        <f>(E14+2000)/2</f>
        <v>2500</v>
      </c>
      <c r="F28" s="7">
        <f>(F14+2000)/2</f>
        <v>2500</v>
      </c>
      <c r="G28" s="7">
        <f>(G14+H14)/2</f>
        <v>1500</v>
      </c>
      <c r="H28" s="7">
        <f>(H14+389071)/2</f>
        <v>194535.5</v>
      </c>
    </row>
    <row r="29" spans="1:8" s="2" customFormat="1" ht="11.25">
      <c r="A29" s="3" t="s">
        <v>20</v>
      </c>
      <c r="B29" s="3"/>
      <c r="C29" s="8">
        <f>(C23+G23)/2</f>
        <v>878.5</v>
      </c>
      <c r="D29" s="8">
        <f>(D23+5542)/2</f>
        <v>6573.5</v>
      </c>
      <c r="E29" s="8">
        <f>(E23+12941)/2</f>
        <v>9747</v>
      </c>
      <c r="F29" s="8">
        <f>(F23+12084)/2</f>
        <v>11377</v>
      </c>
      <c r="G29" s="8">
        <f>(G23+H23)/2</f>
        <v>8890</v>
      </c>
      <c r="H29" s="8">
        <f>(H23+28728)/2</f>
        <v>21521</v>
      </c>
    </row>
    <row r="30" s="2" customFormat="1" ht="11.25">
      <c r="A30" s="5" t="s">
        <v>23</v>
      </c>
    </row>
    <row r="31" spans="1:8" s="2" customFormat="1" ht="11.25">
      <c r="A31" s="2" t="s">
        <v>24</v>
      </c>
      <c r="C31" s="7">
        <f>1821+D31</f>
        <v>7351</v>
      </c>
      <c r="D31" s="7">
        <f>1950+E31</f>
        <v>5530</v>
      </c>
      <c r="E31" s="7">
        <f>1675+F31</f>
        <v>3580</v>
      </c>
      <c r="F31" s="7">
        <v>1905</v>
      </c>
      <c r="G31" s="7">
        <v>7058</v>
      </c>
      <c r="H31" s="7">
        <v>15038</v>
      </c>
    </row>
    <row r="32" spans="1:8" s="2" customFormat="1" ht="11.25">
      <c r="A32" s="2" t="s">
        <v>25</v>
      </c>
      <c r="C32" s="7">
        <f>3667+D32</f>
        <v>13681</v>
      </c>
      <c r="D32" s="7">
        <f>3774+E32</f>
        <v>10014</v>
      </c>
      <c r="E32" s="7">
        <f>2978+F32</f>
        <v>6240</v>
      </c>
      <c r="F32" s="7">
        <v>3262</v>
      </c>
      <c r="G32" s="7">
        <v>10373</v>
      </c>
      <c r="H32" s="7">
        <v>12532</v>
      </c>
    </row>
    <row r="33" spans="1:8" s="2" customFormat="1" ht="11.25">
      <c r="A33" s="2" t="s">
        <v>26</v>
      </c>
      <c r="C33" s="7">
        <f aca="true" t="shared" si="5" ref="C33:H33">C31-C32</f>
        <v>-6330</v>
      </c>
      <c r="D33" s="7">
        <f t="shared" si="5"/>
        <v>-4484</v>
      </c>
      <c r="E33" s="7">
        <f t="shared" si="5"/>
        <v>-2660</v>
      </c>
      <c r="F33" s="7">
        <f t="shared" si="5"/>
        <v>-1357</v>
      </c>
      <c r="G33" s="7">
        <f t="shared" si="5"/>
        <v>-3315</v>
      </c>
      <c r="H33" s="7">
        <f t="shared" si="5"/>
        <v>2506</v>
      </c>
    </row>
    <row r="34" spans="1:8" s="2" customFormat="1" ht="11.25">
      <c r="A34" s="2" t="s">
        <v>27</v>
      </c>
      <c r="C34" s="7">
        <f>963+D34</f>
        <v>5595</v>
      </c>
      <c r="D34" s="7">
        <f>4349+E34</f>
        <v>4632</v>
      </c>
      <c r="E34" s="7">
        <f>-1241+F34</f>
        <v>283</v>
      </c>
      <c r="F34" s="7">
        <v>1524</v>
      </c>
      <c r="G34" s="7">
        <v>7095</v>
      </c>
      <c r="H34" s="7">
        <v>568</v>
      </c>
    </row>
    <row r="35" spans="1:8" s="2" customFormat="1" ht="11.25">
      <c r="A35" s="2" t="s">
        <v>28</v>
      </c>
      <c r="C35" s="7">
        <f aca="true" t="shared" si="6" ref="C35:H35">C33+C34</f>
        <v>-735</v>
      </c>
      <c r="D35" s="7">
        <f t="shared" si="6"/>
        <v>148</v>
      </c>
      <c r="E35" s="7">
        <f t="shared" si="6"/>
        <v>-2377</v>
      </c>
      <c r="F35" s="7">
        <f t="shared" si="6"/>
        <v>167</v>
      </c>
      <c r="G35" s="7">
        <f t="shared" si="6"/>
        <v>3780</v>
      </c>
      <c r="H35" s="7">
        <f t="shared" si="6"/>
        <v>3074</v>
      </c>
    </row>
    <row r="36" spans="1:8" s="2" customFormat="1" ht="11.25">
      <c r="A36" s="2" t="s">
        <v>29</v>
      </c>
      <c r="C36" s="7">
        <f>7643+D36</f>
        <v>12183</v>
      </c>
      <c r="D36" s="7">
        <f>1475+E36</f>
        <v>4540</v>
      </c>
      <c r="E36" s="7">
        <f>1570+F36</f>
        <v>3065</v>
      </c>
      <c r="F36" s="7">
        <v>1495</v>
      </c>
      <c r="G36" s="7">
        <v>11935</v>
      </c>
      <c r="H36" s="7">
        <v>730</v>
      </c>
    </row>
    <row r="37" spans="1:8" s="2" customFormat="1" ht="11.25">
      <c r="A37" s="2" t="s">
        <v>30</v>
      </c>
      <c r="C37" s="7">
        <f aca="true" t="shared" si="7" ref="C37:H37">C35-C36</f>
        <v>-12918</v>
      </c>
      <c r="D37" s="7">
        <f t="shared" si="7"/>
        <v>-4392</v>
      </c>
      <c r="E37" s="7">
        <f t="shared" si="7"/>
        <v>-5442</v>
      </c>
      <c r="F37" s="7">
        <f t="shared" si="7"/>
        <v>-1328</v>
      </c>
      <c r="G37" s="7">
        <f t="shared" si="7"/>
        <v>-8155</v>
      </c>
      <c r="H37" s="7">
        <f t="shared" si="7"/>
        <v>2344</v>
      </c>
    </row>
    <row r="38" spans="1:8" s="2" customFormat="1" ht="11.25">
      <c r="A38" s="3" t="s">
        <v>31</v>
      </c>
      <c r="B38" s="3"/>
      <c r="C38" s="8">
        <f>-9315+D38</f>
        <v>-13712</v>
      </c>
      <c r="D38" s="8">
        <f>1050+E38</f>
        <v>-4397</v>
      </c>
      <c r="E38" s="8">
        <f>-4114+F38</f>
        <v>-5447</v>
      </c>
      <c r="F38" s="8">
        <v>-1333</v>
      </c>
      <c r="G38" s="8">
        <v>-8529</v>
      </c>
      <c r="H38" s="8">
        <v>2314</v>
      </c>
    </row>
    <row r="39" s="2" customFormat="1" ht="11.25">
      <c r="A39" s="5" t="s">
        <v>32</v>
      </c>
    </row>
    <row r="40" spans="1:8" s="2" customFormat="1" ht="11.25">
      <c r="A40" s="2" t="s">
        <v>33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s="2" customFormat="1" ht="11.25">
      <c r="A41" s="2" t="s">
        <v>34</v>
      </c>
      <c r="C41" s="7">
        <v>1044</v>
      </c>
      <c r="D41" s="7">
        <v>245</v>
      </c>
      <c r="E41" s="7">
        <v>268</v>
      </c>
      <c r="F41" s="7">
        <v>520</v>
      </c>
      <c r="G41" s="7">
        <v>516</v>
      </c>
      <c r="H41" s="7">
        <v>293</v>
      </c>
    </row>
    <row r="42" spans="1:8" s="2" customFormat="1" ht="11.25">
      <c r="A42" s="2" t="s">
        <v>35</v>
      </c>
      <c r="C42" s="9">
        <f aca="true" t="shared" si="8" ref="C42:H42">C40/C11</f>
        <v>0</v>
      </c>
      <c r="D42" s="9">
        <f t="shared" si="8"/>
        <v>0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</row>
    <row r="43" spans="1:8" s="2" customFormat="1" ht="11.25">
      <c r="A43" s="2" t="s">
        <v>36</v>
      </c>
      <c r="C43" s="9">
        <f aca="true" t="shared" si="9" ref="C43:H43">(C41)/C11</f>
        <v>0.012210240696124067</v>
      </c>
      <c r="D43" s="9">
        <f t="shared" si="9"/>
        <v>0.0028662345866772737</v>
      </c>
      <c r="E43" s="9">
        <f t="shared" si="9"/>
        <v>0.003651325649200251</v>
      </c>
      <c r="F43" s="9">
        <f t="shared" si="9"/>
        <v>0.007479646730531342</v>
      </c>
      <c r="G43" s="9">
        <f t="shared" si="9"/>
        <v>0.005464365138197607</v>
      </c>
      <c r="H43" s="9">
        <f t="shared" si="9"/>
        <v>0.003608996625033873</v>
      </c>
    </row>
    <row r="44" spans="1:8" s="2" customFormat="1" ht="11.25">
      <c r="A44" s="10" t="s">
        <v>37</v>
      </c>
      <c r="C44" s="9">
        <f aca="true" t="shared" si="10" ref="C44:H44">(C40+C41)/C11</f>
        <v>0.012210240696124067</v>
      </c>
      <c r="D44" s="9">
        <f t="shared" si="10"/>
        <v>0.0028662345866772737</v>
      </c>
      <c r="E44" s="9">
        <f t="shared" si="10"/>
        <v>0.003651325649200251</v>
      </c>
      <c r="F44" s="9">
        <f t="shared" si="10"/>
        <v>0.007479646730531342</v>
      </c>
      <c r="G44" s="9">
        <f t="shared" si="10"/>
        <v>0.005464365138197607</v>
      </c>
      <c r="H44" s="9">
        <f t="shared" si="10"/>
        <v>0.003608996625033873</v>
      </c>
    </row>
    <row r="45" spans="1:8" s="2" customFormat="1" ht="11.25">
      <c r="A45" s="2" t="s">
        <v>38</v>
      </c>
      <c r="C45" s="9">
        <v>0.0121</v>
      </c>
      <c r="D45" s="9">
        <v>0.0029</v>
      </c>
      <c r="E45" s="9">
        <v>0.0037</v>
      </c>
      <c r="F45" s="9">
        <v>0.0068</v>
      </c>
      <c r="G45" s="9">
        <v>0.005</v>
      </c>
      <c r="H45" s="9">
        <f>(304/H11)</f>
        <v>0.003744487965905452</v>
      </c>
    </row>
    <row r="46" spans="1:8" s="2" customFormat="1" ht="11.25">
      <c r="A46" s="3" t="s">
        <v>39</v>
      </c>
      <c r="B46" s="3"/>
      <c r="C46" s="11">
        <v>0.9947</v>
      </c>
      <c r="D46" s="11">
        <v>1.0226</v>
      </c>
      <c r="E46" s="11">
        <v>1.0003</v>
      </c>
      <c r="F46" s="11">
        <v>0.9134</v>
      </c>
      <c r="G46" s="11">
        <v>0.9096</v>
      </c>
      <c r="H46" s="11">
        <f>304/(H40+H41)</f>
        <v>1.0375426621160408</v>
      </c>
    </row>
    <row r="47" s="2" customFormat="1" ht="11.25">
      <c r="A47" s="5" t="s">
        <v>40</v>
      </c>
    </row>
    <row r="48" spans="1:8" s="2" customFormat="1" ht="11.25">
      <c r="A48" s="2" t="s">
        <v>41</v>
      </c>
      <c r="C48" s="9">
        <f aca="true" t="shared" si="11" ref="C48:H48">C23/(C11+C14)</f>
        <v>-0.019505124517793147</v>
      </c>
      <c r="D48" s="9">
        <f t="shared" si="11"/>
        <v>0.08547056575782777</v>
      </c>
      <c r="E48" s="9">
        <f t="shared" si="11"/>
        <v>0.08577449671457368</v>
      </c>
      <c r="F48" s="9">
        <f t="shared" si="11"/>
        <v>0.14712776812553433</v>
      </c>
      <c r="G48" s="9">
        <f t="shared" si="11"/>
        <v>0.03557425844195833</v>
      </c>
      <c r="H48" s="9">
        <f t="shared" si="11"/>
        <v>0.17631118665779813</v>
      </c>
    </row>
    <row r="49" spans="1:8" s="2" customFormat="1" ht="11.25">
      <c r="A49" s="3" t="s">
        <v>42</v>
      </c>
      <c r="B49" s="3"/>
      <c r="C49" s="11">
        <f aca="true" t="shared" si="12" ref="C49:H49">C23/C9</f>
        <v>-0.005747281055159101</v>
      </c>
      <c r="D49" s="11">
        <f t="shared" si="12"/>
        <v>0.03703216758699272</v>
      </c>
      <c r="E49" s="11">
        <f t="shared" si="12"/>
        <v>0.03201301429422857</v>
      </c>
      <c r="F49" s="11">
        <f t="shared" si="12"/>
        <v>0.055411012614184595</v>
      </c>
      <c r="G49" s="11">
        <f t="shared" si="12"/>
        <v>0.018396344084880074</v>
      </c>
      <c r="H49" s="11">
        <f t="shared" si="12"/>
        <v>0.06709918153436524</v>
      </c>
    </row>
    <row r="50" spans="1:8" s="2" customFormat="1" ht="11.25">
      <c r="A50" s="5" t="s">
        <v>43</v>
      </c>
      <c r="C50" s="12"/>
      <c r="D50" s="12"/>
      <c r="E50" s="12"/>
      <c r="F50" s="12"/>
      <c r="G50" s="12"/>
      <c r="H50" s="12"/>
    </row>
    <row r="51" spans="1:8" s="2" customFormat="1" ht="11.25">
      <c r="A51" s="2" t="s">
        <v>44</v>
      </c>
      <c r="C51" s="12">
        <f aca="true" t="shared" si="13" ref="C51:H51">C10/C15</f>
        <v>0.04327331233739559</v>
      </c>
      <c r="D51" s="12">
        <f t="shared" si="13"/>
        <v>0.06196526329844599</v>
      </c>
      <c r="E51" s="12">
        <f t="shared" si="13"/>
        <v>0.06427465416995662</v>
      </c>
      <c r="F51" s="12">
        <f t="shared" si="13"/>
        <v>0.10129007321431573</v>
      </c>
      <c r="G51" s="12">
        <f t="shared" si="13"/>
        <v>0.12722216103095055</v>
      </c>
      <c r="H51" s="12">
        <f t="shared" si="13"/>
        <v>0.07131387988266173</v>
      </c>
    </row>
    <row r="52" spans="1:8" s="2" customFormat="1" ht="11.25">
      <c r="A52" s="2" t="s">
        <v>45</v>
      </c>
      <c r="C52" s="12">
        <f aca="true" t="shared" si="14" ref="C52:H52">C10/C9</f>
        <v>0.04251104728979883</v>
      </c>
      <c r="D52" s="12">
        <f t="shared" si="14"/>
        <v>0.05875478423466854</v>
      </c>
      <c r="E52" s="12">
        <f t="shared" si="14"/>
        <v>0.06124143860711878</v>
      </c>
      <c r="F52" s="12">
        <f t="shared" si="14"/>
        <v>0.09390271134861161</v>
      </c>
      <c r="G52" s="12">
        <f t="shared" si="14"/>
        <v>0.12261221716815193</v>
      </c>
      <c r="H52" s="12">
        <f t="shared" si="14"/>
        <v>0.06495692039413854</v>
      </c>
    </row>
    <row r="53" spans="1:8" s="2" customFormat="1" ht="11.25">
      <c r="A53" s="3" t="s">
        <v>46</v>
      </c>
      <c r="B53" s="3"/>
      <c r="C53" s="13">
        <f aca="true" t="shared" si="15" ref="C53:H53">(C10+C14)/C15</f>
        <v>0.05051691085855128</v>
      </c>
      <c r="D53" s="13">
        <f t="shared" si="15"/>
        <v>0.07993960620782449</v>
      </c>
      <c r="E53" s="13">
        <f t="shared" si="15"/>
        <v>0.07965627211107579</v>
      </c>
      <c r="F53" s="13">
        <f t="shared" si="15"/>
        <v>0.11809519541556267</v>
      </c>
      <c r="G53" s="13">
        <f t="shared" si="15"/>
        <v>0.1437438043837427</v>
      </c>
      <c r="H53" s="13">
        <f t="shared" si="15"/>
        <v>0.07131387988266173</v>
      </c>
    </row>
    <row r="54" s="2" customFormat="1" ht="11.25">
      <c r="A54" s="5" t="s">
        <v>47</v>
      </c>
    </row>
    <row r="55" spans="1:8" s="2" customFormat="1" ht="11.25">
      <c r="A55" s="2" t="s">
        <v>48</v>
      </c>
      <c r="C55" s="9">
        <f>C38/C26</f>
        <v>-0.14819938610522676</v>
      </c>
      <c r="D55" s="9">
        <f>(D38/0.75)/D26</f>
        <v>-0.06912340067637807</v>
      </c>
      <c r="E55" s="9">
        <f>(E38/0.5)/E26</f>
        <v>-0.12688244680231542</v>
      </c>
      <c r="F55" s="9">
        <f>((F38)/0.25)/F26</f>
        <v>-0.07043779227984888</v>
      </c>
      <c r="G55" s="9">
        <f>G38/G26</f>
        <v>-0.09550096295964527</v>
      </c>
      <c r="H55" s="9">
        <f>H38/H26</f>
        <v>0.0031706491609563466</v>
      </c>
    </row>
    <row r="56" spans="1:8" s="2" customFormat="1" ht="11.25">
      <c r="A56" s="2" t="s">
        <v>49</v>
      </c>
      <c r="C56" s="9">
        <f>C38/C25</f>
        <v>-0.0564552818749807</v>
      </c>
      <c r="D56" s="9">
        <f>(D38/0.75)/D25</f>
        <v>-0.02929004774537576</v>
      </c>
      <c r="E56" s="9">
        <f>(E38/0.5)/E25</f>
        <v>-0.049007942309725334</v>
      </c>
      <c r="F56" s="9">
        <f>((F38)/0.25)/F25</f>
        <v>-0.025307503731812606</v>
      </c>
      <c r="G56" s="9">
        <f>G38/G25</f>
        <v>-0.04246103755479386</v>
      </c>
      <c r="H56" s="9">
        <f>H38/H25</f>
        <v>0.0022176901520756585</v>
      </c>
    </row>
    <row r="57" spans="1:8" s="2" customFormat="1" ht="11.25">
      <c r="A57" s="2" t="s">
        <v>50</v>
      </c>
      <c r="C57" s="9">
        <f>C38/C29</f>
        <v>-15.608423449060899</v>
      </c>
      <c r="D57" s="9">
        <f>(D38/0.75)/D29</f>
        <v>-0.8918637965568825</v>
      </c>
      <c r="E57" s="9">
        <f>(E38/0.5)/E29</f>
        <v>-1.1176772340207244</v>
      </c>
      <c r="F57" s="9">
        <f>((F38)/0.25)/F29</f>
        <v>-0.46866485013623976</v>
      </c>
      <c r="G57" s="9">
        <f>G38/G29</f>
        <v>-0.959392575928009</v>
      </c>
      <c r="H57" s="9">
        <f>H38/H29</f>
        <v>0.10752288462432043</v>
      </c>
    </row>
    <row r="58" spans="1:8" s="2" customFormat="1" ht="11.25">
      <c r="A58" s="2" t="s">
        <v>51</v>
      </c>
      <c r="C58" s="9">
        <f>C31/C25</f>
        <v>0.0302656634380822</v>
      </c>
      <c r="D58" s="9">
        <f>(D31/0.75)/D25</f>
        <v>0.03683738094881236</v>
      </c>
      <c r="E58" s="9">
        <f>(E31/0.5)/E25</f>
        <v>0.0322101034457163</v>
      </c>
      <c r="F58" s="9">
        <f>((F31)/0.25)/F25</f>
        <v>0.036167137741262574</v>
      </c>
      <c r="G58" s="9">
        <f>G31/G25</f>
        <v>0.03513776563040626</v>
      </c>
      <c r="H58" s="9">
        <f>H31/H25</f>
        <v>0.014412110850005941</v>
      </c>
    </row>
    <row r="59" spans="1:8" s="2" customFormat="1" ht="11.25">
      <c r="A59" s="2" t="s">
        <v>52</v>
      </c>
      <c r="C59" s="9">
        <f>C32/C25</f>
        <v>0.0563276481426204</v>
      </c>
      <c r="D59" s="9">
        <f>(D32/0.75)/D25</f>
        <v>0.06670696796047143</v>
      </c>
      <c r="E59" s="9">
        <f>(E32/0.5)/E25</f>
        <v>0.05614275014001948</v>
      </c>
      <c r="F59" s="9">
        <f>((F32)/0.25)/F25</f>
        <v>0.06193029045249266</v>
      </c>
      <c r="G59" s="9">
        <f>G32/G25</f>
        <v>0.05164126422275491</v>
      </c>
      <c r="H59" s="9">
        <f>H32/H25</f>
        <v>0.01201041183483671</v>
      </c>
    </row>
    <row r="60" spans="1:8" s="2" customFormat="1" ht="11.25">
      <c r="A60" s="2" t="s">
        <v>53</v>
      </c>
      <c r="C60" s="9">
        <f>C33/C25</f>
        <v>-0.026061984704538202</v>
      </c>
      <c r="D60" s="9">
        <f>(D33)/0.75/D25</f>
        <v>-0.029869587011659066</v>
      </c>
      <c r="E60" s="9">
        <f>(E33/0.5)/E25</f>
        <v>-0.023932646694303176</v>
      </c>
      <c r="F60" s="9">
        <f>((F33)/0.25)/F25</f>
        <v>-0.025763152711230086</v>
      </c>
      <c r="G60" s="9">
        <f>G33/G25</f>
        <v>-0.01650349859234865</v>
      </c>
      <c r="H60" s="9">
        <f>H33/H25</f>
        <v>0.0024016990151692306</v>
      </c>
    </row>
    <row r="61" spans="1:8" s="2" customFormat="1" ht="11.25">
      <c r="A61" s="2" t="s">
        <v>54</v>
      </c>
      <c r="C61" s="9">
        <f>C36/C35</f>
        <v>-16.57551020408163</v>
      </c>
      <c r="D61" s="9">
        <f>(D36/0.75)/(D35/0.75)</f>
        <v>30.675675675675674</v>
      </c>
      <c r="E61" s="9">
        <f>(E36/0.5)/(E35/0.5)</f>
        <v>-1.2894404711821623</v>
      </c>
      <c r="F61" s="9">
        <f>(F36/0.25)/(F35/0.25)</f>
        <v>8.952095808383234</v>
      </c>
      <c r="G61" s="9">
        <f>G36/G35</f>
        <v>3.1574074074074074</v>
      </c>
      <c r="H61" s="9">
        <f>H36/H35</f>
        <v>0.23747560182173064</v>
      </c>
    </row>
    <row r="62" spans="1:8" s="2" customFormat="1" ht="11.25">
      <c r="A62" s="3" t="s">
        <v>55</v>
      </c>
      <c r="B62" s="3"/>
      <c r="C62" s="11">
        <f>C34/C25</f>
        <v>0.023035830082447275</v>
      </c>
      <c r="D62" s="11">
        <f>(D34/0.75)/D25</f>
        <v>0.030855469901428366</v>
      </c>
      <c r="E62" s="11">
        <f>(E34/0.5)/E25</f>
        <v>0.002546217674619473</v>
      </c>
      <c r="F62" s="11">
        <f>(F34/0.25)/F25</f>
        <v>0.02893371019301006</v>
      </c>
      <c r="G62" s="11">
        <f>G34/G25</f>
        <v>0.035321967575479236</v>
      </c>
      <c r="H62" s="11">
        <f>H34/H25</f>
        <v>0.0005443595533184848</v>
      </c>
    </row>
    <row r="63" s="2" customFormat="1" ht="11.25">
      <c r="A63" s="5" t="s">
        <v>56</v>
      </c>
    </row>
    <row r="64" spans="1:8" s="2" customFormat="1" ht="11.25">
      <c r="A64" s="2" t="s">
        <v>57</v>
      </c>
      <c r="C64" s="7">
        <v>124</v>
      </c>
      <c r="D64" s="7">
        <v>122</v>
      </c>
      <c r="E64" s="7">
        <v>113</v>
      </c>
      <c r="F64" s="7">
        <v>122</v>
      </c>
      <c r="G64" s="7">
        <v>118</v>
      </c>
      <c r="H64" s="7">
        <v>109</v>
      </c>
    </row>
    <row r="65" spans="1:8" s="2" customFormat="1" ht="11.25">
      <c r="A65" s="2" t="s">
        <v>58</v>
      </c>
      <c r="C65" s="7">
        <v>1</v>
      </c>
      <c r="D65" s="7">
        <v>1</v>
      </c>
      <c r="E65" s="7">
        <v>1</v>
      </c>
      <c r="F65" s="7">
        <v>1</v>
      </c>
      <c r="G65" s="7">
        <v>1</v>
      </c>
      <c r="H65" s="7">
        <v>1</v>
      </c>
    </row>
    <row r="66" spans="1:8" s="2" customFormat="1" ht="11.25">
      <c r="A66" s="2" t="s">
        <v>59</v>
      </c>
      <c r="C66" s="7">
        <f aca="true" t="shared" si="16" ref="C66:H66">C11/C64</f>
        <v>689.5322580645161</v>
      </c>
      <c r="D66" s="7">
        <f t="shared" si="16"/>
        <v>700.639344262295</v>
      </c>
      <c r="E66" s="7">
        <f t="shared" si="16"/>
        <v>649.5398230088496</v>
      </c>
      <c r="F66" s="7">
        <f t="shared" si="16"/>
        <v>569.8524590163935</v>
      </c>
      <c r="G66" s="7">
        <f t="shared" si="16"/>
        <v>800.2542372881356</v>
      </c>
      <c r="H66" s="7">
        <f t="shared" si="16"/>
        <v>744.8256880733945</v>
      </c>
    </row>
    <row r="67" spans="1:8" s="2" customFormat="1" ht="11.25">
      <c r="A67" s="2" t="s">
        <v>60</v>
      </c>
      <c r="C67" s="7">
        <f aca="true" t="shared" si="17" ref="C67:H67">C15/C64</f>
        <v>2355.8064516129034</v>
      </c>
      <c r="D67" s="7">
        <f t="shared" si="17"/>
        <v>1596.0819672131147</v>
      </c>
      <c r="E67" s="7">
        <f t="shared" si="17"/>
        <v>1726</v>
      </c>
      <c r="F67" s="7">
        <f t="shared" si="17"/>
        <v>1463.2540983606557</v>
      </c>
      <c r="G67" s="7">
        <f t="shared" si="17"/>
        <v>1538.8135593220338</v>
      </c>
      <c r="H67" s="7">
        <f t="shared" si="17"/>
        <v>1782.6605504587155</v>
      </c>
    </row>
    <row r="68" spans="1:8" s="2" customFormat="1" ht="11.25">
      <c r="A68" s="3" t="s">
        <v>61</v>
      </c>
      <c r="B68" s="3"/>
      <c r="C68" s="8">
        <f aca="true" t="shared" si="18" ref="C68:H68">(C38/C64)</f>
        <v>-110.58064516129032</v>
      </c>
      <c r="D68" s="8">
        <f t="shared" si="18"/>
        <v>-36.040983606557376</v>
      </c>
      <c r="E68" s="8">
        <f t="shared" si="18"/>
        <v>-48.203539823008846</v>
      </c>
      <c r="F68" s="8">
        <f t="shared" si="18"/>
        <v>-10.926229508196721</v>
      </c>
      <c r="G68" s="8">
        <f t="shared" si="18"/>
        <v>-72.27966101694915</v>
      </c>
      <c r="H68" s="8">
        <f t="shared" si="18"/>
        <v>21.229357798165136</v>
      </c>
    </row>
    <row r="69" s="2" customFormat="1" ht="11.25">
      <c r="A69" s="5" t="s">
        <v>62</v>
      </c>
    </row>
    <row r="70" spans="1:8" s="2" customFormat="1" ht="11.25">
      <c r="A70" s="2" t="s">
        <v>63</v>
      </c>
      <c r="C70" s="9">
        <f>(C9/G9)-1</f>
        <v>0.578274692553886</v>
      </c>
      <c r="D70" s="9">
        <f>(D9/194955)-1</f>
        <v>0.053381549588366495</v>
      </c>
      <c r="E70" s="9">
        <f>(E9/239883)-1</f>
        <v>-0.14667567105630663</v>
      </c>
      <c r="F70" s="9">
        <f>(F9/228816)-1</f>
        <v>-0.15844608768617574</v>
      </c>
      <c r="G70" s="9">
        <f>(G9/H9)-1</f>
        <v>-0.11681182790658429</v>
      </c>
      <c r="H70" s="9">
        <f>(H9/1873530)-1</f>
        <v>-0.8861368646352074</v>
      </c>
    </row>
    <row r="71" spans="1:8" s="2" customFormat="1" ht="11.25">
      <c r="A71" s="2" t="s">
        <v>64</v>
      </c>
      <c r="C71" s="9">
        <f>(C11/G11)-1</f>
        <v>-0.09454622471672136</v>
      </c>
      <c r="D71" s="9">
        <f>D11/78651-1</f>
        <v>0.08680118498175493</v>
      </c>
      <c r="E71" s="9">
        <f>E11/93320</f>
        <v>0.7865195027861123</v>
      </c>
      <c r="F71" s="9">
        <f>F11/76874-1</f>
        <v>-0.09563701641647371</v>
      </c>
      <c r="G71" s="9">
        <f>(G11/H11)-1</f>
        <v>0.16313157440938086</v>
      </c>
      <c r="H71" s="9">
        <f>H11/939381-1</f>
        <v>-0.9135750031137526</v>
      </c>
    </row>
    <row r="72" spans="2:8" s="2" customFormat="1" ht="11.25">
      <c r="B72" s="2" t="s">
        <v>13</v>
      </c>
      <c r="C72" s="9">
        <f>(C12/G12)-1</f>
        <v>-0.09454622471672136</v>
      </c>
      <c r="D72" s="9">
        <f>(D12/78651)-1</f>
        <v>0.08680118498175493</v>
      </c>
      <c r="E72" s="9">
        <f>(E12/93320)-1</f>
        <v>-0.21348049721388773</v>
      </c>
      <c r="F72" s="9">
        <f>(F12/76874)-1</f>
        <v>-0.09563701641647371</v>
      </c>
      <c r="G72" s="9">
        <f>(G12/H12)-1</f>
        <v>0.16313157440938086</v>
      </c>
      <c r="H72" s="9">
        <f>(H12/85046)-1</f>
        <v>-0.045387202219975054</v>
      </c>
    </row>
    <row r="73" spans="2:8" s="2" customFormat="1" ht="11.25">
      <c r="B73" s="2" t="s">
        <v>14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f>(H13/904334)-1</f>
        <v>-1</v>
      </c>
    </row>
    <row r="74" spans="1:8" s="2" customFormat="1" ht="11.25">
      <c r="A74" s="2" t="s">
        <v>65</v>
      </c>
      <c r="C74" s="9">
        <f>(C15/G15)-1</f>
        <v>0.6087674854058818</v>
      </c>
      <c r="D74" s="9">
        <f>D15/186878-1</f>
        <v>0.041973908111174074</v>
      </c>
      <c r="E74" s="9">
        <f>E15/224291-1</f>
        <v>-0.13042431484098782</v>
      </c>
      <c r="F74" s="9">
        <f>F15/213849-1</f>
        <v>-0.1652193837707916</v>
      </c>
      <c r="G74" s="9">
        <f>(G15/H15)-1</f>
        <v>-0.06551386958983063</v>
      </c>
      <c r="H74" s="9">
        <f>H15/1826822-1</f>
        <v>-0.8936349573193229</v>
      </c>
    </row>
    <row r="75" spans="2:8" s="2" customFormat="1" ht="11.25">
      <c r="B75" s="2" t="s">
        <v>13</v>
      </c>
      <c r="C75" s="9">
        <f>(C16/G16)-1</f>
        <v>0.6087674854058818</v>
      </c>
      <c r="D75" s="9">
        <f>(D16/186878)-1</f>
        <v>0.041973908111174074</v>
      </c>
      <c r="E75" s="9">
        <f>(E16/224291)-1</f>
        <v>-0.13042431484098782</v>
      </c>
      <c r="F75" s="9">
        <f>(F16/213849)-1</f>
        <v>-0.1652193837707916</v>
      </c>
      <c r="G75" s="9">
        <f>(G16/H16)-1</f>
        <v>-0.06551386958983063</v>
      </c>
      <c r="H75" s="9">
        <f>(H16/214108)-1</f>
        <v>-0.09246735292469221</v>
      </c>
    </row>
    <row r="76" spans="2:8" s="2" customFormat="1" ht="11.25">
      <c r="B76" s="2" t="s">
        <v>14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f>(H20/1612714)-1</f>
        <v>-1</v>
      </c>
    </row>
    <row r="77" spans="1:8" s="2" customFormat="1" ht="11.25">
      <c r="A77" s="2" t="s">
        <v>66</v>
      </c>
      <c r="C77" s="9">
        <f>(C23/G23)-1</f>
        <v>-1.493075591459896</v>
      </c>
      <c r="D77" s="9">
        <f>(D23/5542)-1</f>
        <v>0.37224828581739455</v>
      </c>
      <c r="E77" s="9">
        <f>(E23/12941)-1</f>
        <v>-0.4936249130669964</v>
      </c>
      <c r="F77" s="9">
        <f>(F23/12084)-1</f>
        <v>-0.11701423369745112</v>
      </c>
      <c r="G77" s="9">
        <f>(G23/H23)-1</f>
        <v>-0.757859438312142</v>
      </c>
      <c r="H77" s="9">
        <f>(H23/28728)-1</f>
        <v>-0.501740462266778</v>
      </c>
    </row>
    <row r="78" spans="1:8" s="2" customFormat="1" ht="11.25">
      <c r="A78" s="3" t="s">
        <v>67</v>
      </c>
      <c r="B78" s="3"/>
      <c r="C78" s="11">
        <f>(C38/G38)-1</f>
        <v>0.6076914057920038</v>
      </c>
      <c r="D78" s="11">
        <f>(D38/-6454)-1</f>
        <v>-0.31871707468236754</v>
      </c>
      <c r="E78" s="11">
        <f>(E38/943)-1</f>
        <v>-6.776246023329798</v>
      </c>
      <c r="F78" s="11">
        <f>(F38/84)-1</f>
        <v>-16.86904761904762</v>
      </c>
      <c r="G78" s="11">
        <f>(G38/H38)-1</f>
        <v>-4.685825410544512</v>
      </c>
      <c r="H78" s="11">
        <f>(H38/12319)-1</f>
        <v>-0.8121600779284033</v>
      </c>
    </row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  <row r="239" s="2" customFormat="1" ht="11.25"/>
    <row r="240" s="2" customFormat="1" ht="11.25"/>
    <row r="241" s="2" customFormat="1" ht="11.25"/>
    <row r="242" s="2" customFormat="1" ht="11.25"/>
    <row r="243" s="2" customFormat="1" ht="11.25"/>
    <row r="244" s="2" customFormat="1" ht="11.25"/>
    <row r="245" s="2" customFormat="1" ht="11.25"/>
    <row r="246" s="2" customFormat="1" ht="11.25"/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  <row r="253" s="2" customFormat="1" ht="11.25"/>
    <row r="254" s="2" customFormat="1" ht="11.25"/>
    <row r="255" s="2" customFormat="1" ht="11.25"/>
    <row r="256" s="2" customFormat="1" ht="11.25"/>
    <row r="257" s="2" customFormat="1" ht="11.25"/>
    <row r="258" s="2" customFormat="1" ht="11.25"/>
    <row r="259" s="2" customFormat="1" ht="11.25"/>
    <row r="260" s="2" customFormat="1" ht="11.25"/>
    <row r="261" s="2" customFormat="1" ht="11.25"/>
    <row r="262" s="2" customFormat="1" ht="11.25"/>
    <row r="263" s="2" customFormat="1" ht="11.25"/>
    <row r="264" s="2" customFormat="1" ht="11.25"/>
    <row r="265" s="2" customFormat="1" ht="11.25"/>
    <row r="266" s="2" customFormat="1" ht="11.25"/>
  </sheetData>
  <sheetProtection password="CD66" sheet="1" objects="1" scenarios="1"/>
  <printOptions horizontalCentered="1"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2002-05-07T14:19:53Z</cp:lastPrinted>
  <dcterms:created xsi:type="dcterms:W3CDTF">2002-03-08T14:19:12Z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