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itibank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<sst xmlns="http://schemas.openxmlformats.org/spreadsheetml/2006/main" count="80" uniqueCount="68">
  <si>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18-37    CITIBANK, N.A.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</si>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</sst>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77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276225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"/>
    </sheetView>
  </sheetViews>
  <sheetFormatPr defaultColWidth="11.421875" defaultRowHeight="12.75"/>
  <cols>
    <col min="1" max="1" width="3.57421875" style="1" customWidth="1"/>
    <col min="2" max="2" width="34.140625" style="1" customWidth="1"/>
    <col min="3" max="3" width="11.421875" style="1" customWidth="1"/>
    <col min="4" max="4" width="9.7109375" style="1" customWidth="1"/>
    <col min="5" max="5" width="10.140625" style="1" customWidth="1"/>
    <col min="6" max="6" width="10.28125" style="1" customWidth="1"/>
    <col min="7" max="16384" width="11.421875" style="1" customWidth="1"/>
  </cols>
  <sheetData>
    <row r="1" spans="2:8" s="2" customFormat="1" ht="11.25">
      <c r="B1" s="15"/>
      <c r="C1" s="15"/>
      <c r="D1" s="15"/>
      <c r="E1" s="15"/>
      <c r="F1" s="15"/>
      <c r="G1" s="15"/>
      <c r="H1" s="15"/>
    </row>
    <row r="2" spans="2:8" s="2" customFormat="1" ht="11.25">
      <c r="B2" s="15"/>
      <c r="C2" s="15"/>
      <c r="D2" s="15"/>
      <c r="E2" s="15"/>
      <c r="F2" s="15" t="s">
        <v>0</v>
      </c>
      <c r="G2" s="15"/>
      <c r="H2" s="15"/>
    </row>
    <row r="3" spans="2:8" s="2" customFormat="1" ht="11.25">
      <c r="B3" s="16"/>
      <c r="C3" s="16"/>
      <c r="D3" s="16"/>
      <c r="E3" s="16"/>
      <c r="F3" s="15" t="s">
        <v>1</v>
      </c>
      <c r="G3" s="16"/>
      <c r="H3" s="16"/>
    </row>
    <row r="4" spans="1:8" s="2" customFormat="1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s="2" customFormat="1" ht="11.25">
      <c r="A5" s="16"/>
      <c r="B5" s="16"/>
      <c r="C5" s="16"/>
      <c r="D5" s="16"/>
      <c r="E5" s="16"/>
      <c r="F5" s="16"/>
      <c r="G5" s="16"/>
      <c r="H5" s="16"/>
    </row>
    <row r="6" spans="1:8" s="2" customFormat="1" ht="11.25">
      <c r="A6" s="16"/>
      <c r="B6" s="16"/>
      <c r="C6" s="16"/>
      <c r="D6" s="16"/>
      <c r="E6" s="16"/>
      <c r="F6" s="16"/>
      <c r="G6" s="16"/>
      <c r="H6" s="16"/>
    </row>
    <row r="7" spans="1:8" s="2" customFormat="1" ht="11.25">
      <c r="A7" s="16"/>
      <c r="B7" s="16"/>
      <c r="C7" s="16"/>
      <c r="D7" s="16"/>
      <c r="E7" s="16"/>
      <c r="F7" s="16"/>
      <c r="G7" s="16"/>
      <c r="H7" s="16"/>
    </row>
    <row r="8" spans="1:8" s="2" customFormat="1" ht="11.25">
      <c r="A8" s="3"/>
      <c r="B8" s="3"/>
      <c r="C8" s="3"/>
      <c r="D8" s="3"/>
      <c r="E8" s="3"/>
      <c r="F8" s="3"/>
      <c r="G8" s="3"/>
      <c r="H8" s="3"/>
    </row>
    <row r="9" spans="1:8" s="2" customFormat="1" ht="11.25">
      <c r="A9" s="4"/>
      <c r="B9" s="4"/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</row>
    <row r="10" spans="1:8" s="2" customFormat="1" ht="11.25">
      <c r="A10" s="5" t="s">
        <v>9</v>
      </c>
      <c r="B10" s="5"/>
      <c r="C10" s="6"/>
      <c r="D10" s="6"/>
      <c r="E10" s="6"/>
      <c r="F10" s="6"/>
      <c r="G10" s="6"/>
      <c r="H10" s="6"/>
    </row>
    <row r="11" spans="1:8" s="2" customFormat="1" ht="11.25">
      <c r="A11" s="2" t="s">
        <v>10</v>
      </c>
      <c r="C11" s="7">
        <v>795423</v>
      </c>
      <c r="D11" s="7">
        <v>788148</v>
      </c>
      <c r="E11" s="7">
        <v>764867</v>
      </c>
      <c r="F11" s="7">
        <v>801531</v>
      </c>
      <c r="G11" s="7">
        <v>839112</v>
      </c>
      <c r="H11" s="7">
        <v>841507</v>
      </c>
    </row>
    <row r="12" spans="1:8" s="2" customFormat="1" ht="11.25">
      <c r="A12" s="2" t="s">
        <v>11</v>
      </c>
      <c r="C12" s="7">
        <v>98365</v>
      </c>
      <c r="D12" s="7">
        <v>53405</v>
      </c>
      <c r="E12" s="7">
        <v>69122</v>
      </c>
      <c r="F12" s="7">
        <v>78249</v>
      </c>
      <c r="G12" s="7">
        <v>114694</v>
      </c>
      <c r="H12" s="7">
        <v>53114</v>
      </c>
    </row>
    <row r="13" spans="1:8" s="2" customFormat="1" ht="11.25">
      <c r="A13" s="2" t="s">
        <v>12</v>
      </c>
      <c r="C13" s="7">
        <f aca="true" t="shared" si="0" ref="C13:H13">C14+C15</f>
        <v>466910</v>
      </c>
      <c r="D13" s="7">
        <f t="shared" si="0"/>
        <v>507868</v>
      </c>
      <c r="E13" s="7">
        <f t="shared" si="0"/>
        <v>500110</v>
      </c>
      <c r="F13" s="7">
        <f t="shared" si="0"/>
        <v>505236</v>
      </c>
      <c r="G13" s="7">
        <f t="shared" si="0"/>
        <v>514231</v>
      </c>
      <c r="H13" s="7">
        <f t="shared" si="0"/>
        <v>566395</v>
      </c>
    </row>
    <row r="14" spans="2:8" s="2" customFormat="1" ht="11.25">
      <c r="B14" s="2" t="s">
        <v>13</v>
      </c>
      <c r="C14" s="7">
        <v>466725</v>
      </c>
      <c r="D14" s="7">
        <v>502690</v>
      </c>
      <c r="E14" s="7">
        <v>491814</v>
      </c>
      <c r="F14" s="7">
        <v>497759</v>
      </c>
      <c r="G14" s="7">
        <v>480475</v>
      </c>
      <c r="H14" s="7">
        <v>495213</v>
      </c>
    </row>
    <row r="15" spans="2:8" s="2" customFormat="1" ht="11.25">
      <c r="B15" s="2" t="s">
        <v>14</v>
      </c>
      <c r="C15" s="7">
        <v>185</v>
      </c>
      <c r="D15" s="7">
        <v>5178</v>
      </c>
      <c r="E15" s="7">
        <v>8296</v>
      </c>
      <c r="F15" s="7">
        <v>7477</v>
      </c>
      <c r="G15" s="7">
        <v>33756</v>
      </c>
      <c r="H15" s="7">
        <v>71182</v>
      </c>
    </row>
    <row r="16" spans="1:8" s="2" customFormat="1" ht="11.25">
      <c r="A16" s="2" t="s">
        <v>15</v>
      </c>
      <c r="C16" s="7">
        <v>146965</v>
      </c>
      <c r="D16" s="7">
        <v>159245</v>
      </c>
      <c r="E16" s="7">
        <v>124705</v>
      </c>
      <c r="F16" s="7">
        <v>135284</v>
      </c>
      <c r="G16" s="7">
        <v>135205</v>
      </c>
      <c r="H16" s="7">
        <v>109049</v>
      </c>
    </row>
    <row r="17" spans="1:8" s="2" customFormat="1" ht="11.25">
      <c r="A17" s="2" t="s">
        <v>16</v>
      </c>
      <c r="C17" s="7">
        <f aca="true" t="shared" si="1" ref="C17:H17">C18+C22</f>
        <v>723505</v>
      </c>
      <c r="D17" s="7">
        <f t="shared" si="1"/>
        <v>702353</v>
      </c>
      <c r="E17" s="7">
        <f t="shared" si="1"/>
        <v>685668</v>
      </c>
      <c r="F17" s="7">
        <f t="shared" si="1"/>
        <v>706920</v>
      </c>
      <c r="G17" s="7">
        <f t="shared" si="1"/>
        <v>756831</v>
      </c>
      <c r="H17" s="7">
        <f t="shared" si="1"/>
        <v>743468</v>
      </c>
    </row>
    <row r="18" spans="2:8" s="2" customFormat="1" ht="11.25">
      <c r="B18" s="2" t="s">
        <v>13</v>
      </c>
      <c r="C18" s="7">
        <f aca="true" t="shared" si="2" ref="C18:H18">SUM(C19:C21)</f>
        <v>501389</v>
      </c>
      <c r="D18" s="7">
        <f t="shared" si="2"/>
        <v>473910</v>
      </c>
      <c r="E18" s="7">
        <f t="shared" si="2"/>
        <v>475276</v>
      </c>
      <c r="F18" s="7">
        <f t="shared" si="2"/>
        <v>482056</v>
      </c>
      <c r="G18" s="7">
        <f t="shared" si="2"/>
        <v>477724</v>
      </c>
      <c r="H18" s="7">
        <f t="shared" si="2"/>
        <v>482544</v>
      </c>
    </row>
    <row r="19" spans="2:8" s="2" customFormat="1" ht="11.25">
      <c r="B19" s="2" t="s">
        <v>17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s="2" customFormat="1" ht="11.25">
      <c r="B20" s="2" t="s">
        <v>18</v>
      </c>
      <c r="C20" s="7">
        <v>424784</v>
      </c>
      <c r="D20" s="7">
        <v>430593</v>
      </c>
      <c r="E20" s="7">
        <v>402609</v>
      </c>
      <c r="F20" s="7">
        <v>451065</v>
      </c>
      <c r="G20" s="7">
        <v>381626</v>
      </c>
      <c r="H20" s="7">
        <v>258300</v>
      </c>
    </row>
    <row r="21" spans="2:8" s="2" customFormat="1" ht="11.25">
      <c r="B21" s="2" t="s">
        <v>19</v>
      </c>
      <c r="C21" s="7">
        <v>76605</v>
      </c>
      <c r="D21" s="7">
        <v>43317</v>
      </c>
      <c r="E21" s="7">
        <v>72667</v>
      </c>
      <c r="F21" s="7">
        <v>30991</v>
      </c>
      <c r="G21" s="7">
        <v>96098</v>
      </c>
      <c r="H21" s="7">
        <v>224244</v>
      </c>
    </row>
    <row r="22" spans="2:8" s="2" customFormat="1" ht="11.25">
      <c r="B22" s="2" t="s">
        <v>14</v>
      </c>
      <c r="C22" s="7">
        <f aca="true" t="shared" si="3" ref="C22:H22">SUM(C23:C24)</f>
        <v>222116</v>
      </c>
      <c r="D22" s="7">
        <f t="shared" si="3"/>
        <v>228443</v>
      </c>
      <c r="E22" s="7">
        <f t="shared" si="3"/>
        <v>210392</v>
      </c>
      <c r="F22" s="7">
        <f t="shared" si="3"/>
        <v>224864</v>
      </c>
      <c r="G22" s="7">
        <f t="shared" si="3"/>
        <v>279107</v>
      </c>
      <c r="H22" s="7">
        <f t="shared" si="3"/>
        <v>260924</v>
      </c>
    </row>
    <row r="23" spans="2:8" s="2" customFormat="1" ht="11.25">
      <c r="B23" s="2" t="s">
        <v>18</v>
      </c>
      <c r="C23" s="7">
        <v>64108</v>
      </c>
      <c r="D23" s="7">
        <v>56593</v>
      </c>
      <c r="E23" s="7">
        <v>55814</v>
      </c>
      <c r="F23" s="7">
        <v>56895</v>
      </c>
      <c r="G23" s="7">
        <v>56624</v>
      </c>
      <c r="H23" s="7">
        <v>51509</v>
      </c>
    </row>
    <row r="24" spans="2:8" s="2" customFormat="1" ht="11.25">
      <c r="B24" s="2" t="s">
        <v>19</v>
      </c>
      <c r="C24" s="7">
        <v>158008</v>
      </c>
      <c r="D24" s="7">
        <v>171850</v>
      </c>
      <c r="E24" s="7">
        <v>154578</v>
      </c>
      <c r="F24" s="7">
        <v>167969</v>
      </c>
      <c r="G24" s="7">
        <v>222483</v>
      </c>
      <c r="H24" s="7">
        <v>209415</v>
      </c>
    </row>
    <row r="25" spans="1:8" s="2" customFormat="1" ht="11.25">
      <c r="A25" s="3" t="s">
        <v>20</v>
      </c>
      <c r="B25" s="3"/>
      <c r="C25" s="8">
        <v>30021</v>
      </c>
      <c r="D25" s="8">
        <v>33539</v>
      </c>
      <c r="E25" s="8">
        <v>32801</v>
      </c>
      <c r="F25" s="8">
        <v>46388</v>
      </c>
      <c r="G25" s="8">
        <v>39790</v>
      </c>
      <c r="H25" s="8">
        <v>45871</v>
      </c>
    </row>
    <row r="26" spans="1:8" s="2" customFormat="1" ht="11.25">
      <c r="A26" s="5" t="s">
        <v>21</v>
      </c>
      <c r="C26" s="7"/>
      <c r="D26" s="7"/>
      <c r="E26" s="7"/>
      <c r="F26" s="7"/>
      <c r="G26" s="7"/>
      <c r="H26" s="7"/>
    </row>
    <row r="27" spans="1:8" s="2" customFormat="1" ht="11.25">
      <c r="A27" s="2" t="s">
        <v>10</v>
      </c>
      <c r="C27" s="7">
        <f>(C11+G11)/2</f>
        <v>817267.5</v>
      </c>
      <c r="D27" s="7">
        <f>(D11+794765)/2</f>
        <v>791456.5</v>
      </c>
      <c r="E27" s="7">
        <f>(E11+814752)/2</f>
        <v>789809.5</v>
      </c>
      <c r="F27" s="7">
        <f>(F11+892778)/2</f>
        <v>847154.5</v>
      </c>
      <c r="G27" s="7">
        <f>(G11+H11)/2</f>
        <v>840309.5</v>
      </c>
      <c r="H27" s="7">
        <f>(H11+714462)/2</f>
        <v>777984.5</v>
      </c>
    </row>
    <row r="28" spans="1:8" s="2" customFormat="1" ht="11.25">
      <c r="A28" s="2" t="s">
        <v>22</v>
      </c>
      <c r="C28" s="7">
        <f aca="true" t="shared" si="4" ref="C28:H28">C29+C30</f>
        <v>631655.5</v>
      </c>
      <c r="D28" s="7">
        <f t="shared" si="4"/>
        <v>665524.5</v>
      </c>
      <c r="E28" s="7">
        <f t="shared" si="4"/>
        <v>649865</v>
      </c>
      <c r="F28" s="7">
        <f t="shared" si="4"/>
        <v>668766.5</v>
      </c>
      <c r="G28" s="7">
        <f t="shared" si="4"/>
        <v>662440</v>
      </c>
      <c r="H28" s="7">
        <f t="shared" si="4"/>
        <v>610441.5</v>
      </c>
    </row>
    <row r="29" spans="2:8" s="2" customFormat="1" ht="11.25">
      <c r="B29" s="2" t="s">
        <v>12</v>
      </c>
      <c r="C29" s="7">
        <f>(C13+G13)/2</f>
        <v>490570.5</v>
      </c>
      <c r="D29" s="7">
        <f>(D13+548648)/2</f>
        <v>528258</v>
      </c>
      <c r="E29" s="7">
        <f>(E13+547884)/2</f>
        <v>523997</v>
      </c>
      <c r="F29" s="7">
        <f>(F13+568504)/2</f>
        <v>536870</v>
      </c>
      <c r="G29" s="7">
        <f>(G13+H13)/2</f>
        <v>540313</v>
      </c>
      <c r="H29" s="7">
        <f>(H13+419651)/2</f>
        <v>493023</v>
      </c>
    </row>
    <row r="30" spans="2:8" s="2" customFormat="1" ht="11.25">
      <c r="B30" s="2" t="s">
        <v>15</v>
      </c>
      <c r="C30" s="7">
        <f>(C16+G16)/2</f>
        <v>141085</v>
      </c>
      <c r="D30" s="7">
        <f>(D16+115288)/2</f>
        <v>137266.5</v>
      </c>
      <c r="E30" s="7">
        <f>(E16+127031)/2</f>
        <v>125868</v>
      </c>
      <c r="F30" s="7">
        <f>(F16+128509)/2</f>
        <v>131896.5</v>
      </c>
      <c r="G30" s="7">
        <f>(G16+H16)/2</f>
        <v>122127</v>
      </c>
      <c r="H30" s="7">
        <f>(H16+125788)/2</f>
        <v>117418.5</v>
      </c>
    </row>
    <row r="31" spans="1:8" s="2" customFormat="1" ht="11.25">
      <c r="A31" s="3" t="s">
        <v>20</v>
      </c>
      <c r="B31" s="3"/>
      <c r="C31" s="8">
        <f>(C25+G25)/2</f>
        <v>34905.5</v>
      </c>
      <c r="D31" s="8">
        <f>(D25+34883)/2</f>
        <v>34211</v>
      </c>
      <c r="E31" s="8">
        <f>(E25+33751)/2</f>
        <v>33276</v>
      </c>
      <c r="F31" s="8">
        <f>(F25+41328)/2</f>
        <v>43858</v>
      </c>
      <c r="G31" s="8">
        <f>(G25+H25)/2</f>
        <v>42830.5</v>
      </c>
      <c r="H31" s="8">
        <f>(H25+37169)/2</f>
        <v>41520</v>
      </c>
    </row>
    <row r="32" s="2" customFormat="1" ht="11.25">
      <c r="A32" s="5" t="s">
        <v>23</v>
      </c>
    </row>
    <row r="33" spans="1:8" s="2" customFormat="1" ht="11.25">
      <c r="A33" s="2" t="s">
        <v>24</v>
      </c>
      <c r="C33" s="7">
        <f>20029+D33</f>
        <v>79830</v>
      </c>
      <c r="D33" s="7">
        <f>19955+E33</f>
        <v>59801</v>
      </c>
      <c r="E33" s="7">
        <f>19254+F33</f>
        <v>39846</v>
      </c>
      <c r="F33" s="7">
        <v>20592</v>
      </c>
      <c r="G33" s="7">
        <v>78559</v>
      </c>
      <c r="H33" s="7">
        <v>72773</v>
      </c>
    </row>
    <row r="34" spans="1:8" s="2" customFormat="1" ht="11.25">
      <c r="A34" s="2" t="s">
        <v>25</v>
      </c>
      <c r="C34" s="7">
        <f>9832+D34</f>
        <v>37285</v>
      </c>
      <c r="D34" s="7">
        <f>9414+E34</f>
        <v>27453</v>
      </c>
      <c r="E34" s="7">
        <f>8842+F34</f>
        <v>18039</v>
      </c>
      <c r="F34" s="7">
        <v>9197</v>
      </c>
      <c r="G34" s="7">
        <v>35374</v>
      </c>
      <c r="H34" s="7">
        <v>34012</v>
      </c>
    </row>
    <row r="35" spans="1:8" s="2" customFormat="1" ht="11.25">
      <c r="A35" s="2" t="s">
        <v>26</v>
      </c>
      <c r="C35" s="7">
        <f aca="true" t="shared" si="5" ref="C35:H35">C33-C34</f>
        <v>42545</v>
      </c>
      <c r="D35" s="7">
        <f t="shared" si="5"/>
        <v>32348</v>
      </c>
      <c r="E35" s="7">
        <f t="shared" si="5"/>
        <v>21807</v>
      </c>
      <c r="F35" s="7">
        <f t="shared" si="5"/>
        <v>11395</v>
      </c>
      <c r="G35" s="7">
        <f t="shared" si="5"/>
        <v>43185</v>
      </c>
      <c r="H35" s="7">
        <f t="shared" si="5"/>
        <v>38761</v>
      </c>
    </row>
    <row r="36" spans="1:8" s="2" customFormat="1" ht="11.25">
      <c r="A36" s="2" t="s">
        <v>27</v>
      </c>
      <c r="C36" s="7">
        <f>3602+D36</f>
        <v>18778</v>
      </c>
      <c r="D36" s="7">
        <f>3146+E36</f>
        <v>15176</v>
      </c>
      <c r="E36" s="7">
        <f>9079+F36</f>
        <v>12030</v>
      </c>
      <c r="F36" s="7">
        <v>2951</v>
      </c>
      <c r="G36" s="7">
        <v>12396</v>
      </c>
      <c r="H36" s="7">
        <v>9837</v>
      </c>
    </row>
    <row r="37" spans="1:8" s="2" customFormat="1" ht="11.25">
      <c r="A37" s="2" t="s">
        <v>28</v>
      </c>
      <c r="C37" s="7">
        <f aca="true" t="shared" si="6" ref="C37:H37">C35+C36</f>
        <v>61323</v>
      </c>
      <c r="D37" s="7">
        <f t="shared" si="6"/>
        <v>47524</v>
      </c>
      <c r="E37" s="7">
        <f t="shared" si="6"/>
        <v>33837</v>
      </c>
      <c r="F37" s="7">
        <f t="shared" si="6"/>
        <v>14346</v>
      </c>
      <c r="G37" s="7">
        <f t="shared" si="6"/>
        <v>55581</v>
      </c>
      <c r="H37" s="7">
        <f t="shared" si="6"/>
        <v>48598</v>
      </c>
    </row>
    <row r="38" spans="1:8" s="2" customFormat="1" ht="11.25">
      <c r="A38" s="2" t="s">
        <v>29</v>
      </c>
      <c r="C38" s="7">
        <f>8175+D38</f>
        <v>33262</v>
      </c>
      <c r="D38" s="7">
        <f>7971+E38</f>
        <v>25087</v>
      </c>
      <c r="E38" s="7">
        <f>8642+F38</f>
        <v>17116</v>
      </c>
      <c r="F38" s="7">
        <v>8474</v>
      </c>
      <c r="G38" s="7">
        <v>30874</v>
      </c>
      <c r="H38" s="7">
        <v>29413</v>
      </c>
    </row>
    <row r="39" spans="1:8" s="2" customFormat="1" ht="11.25">
      <c r="A39" s="2" t="s">
        <v>30</v>
      </c>
      <c r="C39" s="7">
        <f aca="true" t="shared" si="7" ref="C39:H39">C37-C38</f>
        <v>28061</v>
      </c>
      <c r="D39" s="7">
        <f t="shared" si="7"/>
        <v>22437</v>
      </c>
      <c r="E39" s="7">
        <f t="shared" si="7"/>
        <v>16721</v>
      </c>
      <c r="F39" s="7">
        <f t="shared" si="7"/>
        <v>5872</v>
      </c>
      <c r="G39" s="7">
        <f t="shared" si="7"/>
        <v>24707</v>
      </c>
      <c r="H39" s="7">
        <f t="shared" si="7"/>
        <v>19185</v>
      </c>
    </row>
    <row r="40" spans="1:8" s="2" customFormat="1" ht="11.25">
      <c r="A40" s="3" t="s">
        <v>31</v>
      </c>
      <c r="B40" s="3"/>
      <c r="C40" s="8">
        <f>-4331+D40</f>
        <v>1030</v>
      </c>
      <c r="D40" s="8">
        <f>1232+E40</f>
        <v>5361</v>
      </c>
      <c r="E40" s="8">
        <f>1241+F40</f>
        <v>4129</v>
      </c>
      <c r="F40" s="8">
        <v>2888</v>
      </c>
      <c r="G40" s="8">
        <v>8189</v>
      </c>
      <c r="H40" s="8">
        <v>15037</v>
      </c>
    </row>
    <row r="41" spans="1:8" s="2" customFormat="1" ht="11.25">
      <c r="A41" s="5" t="s">
        <v>32</v>
      </c>
      <c r="C41" s="7"/>
      <c r="D41" s="7"/>
      <c r="E41" s="7"/>
      <c r="F41" s="7"/>
      <c r="G41" s="7"/>
      <c r="H41" s="7"/>
    </row>
    <row r="42" spans="1:8" s="2" customFormat="1" ht="11.25">
      <c r="A42" s="2" t="s">
        <v>33</v>
      </c>
      <c r="C42" s="7">
        <v>34549</v>
      </c>
      <c r="D42" s="7">
        <v>40739</v>
      </c>
      <c r="E42" s="7">
        <v>47513</v>
      </c>
      <c r="F42" s="7">
        <v>51779</v>
      </c>
      <c r="G42" s="7">
        <v>38235</v>
      </c>
      <c r="H42" s="7">
        <v>23563</v>
      </c>
    </row>
    <row r="43" spans="1:8" s="2" customFormat="1" ht="11.25">
      <c r="A43" s="2" t="s">
        <v>34</v>
      </c>
      <c r="C43" s="7">
        <v>9193</v>
      </c>
      <c r="D43" s="7">
        <v>7908</v>
      </c>
      <c r="E43" s="7">
        <v>7389</v>
      </c>
      <c r="F43" s="7">
        <v>3218</v>
      </c>
      <c r="G43" s="7">
        <v>2487</v>
      </c>
      <c r="H43" s="7">
        <v>2500</v>
      </c>
    </row>
    <row r="44" spans="1:8" s="2" customFormat="1" ht="11.25">
      <c r="A44" s="2" t="s">
        <v>35</v>
      </c>
      <c r="C44" s="9">
        <f aca="true" t="shared" si="8" ref="C44:H44">C42/C13</f>
        <v>0.07399498832751494</v>
      </c>
      <c r="D44" s="9">
        <f t="shared" si="8"/>
        <v>0.08021572534595603</v>
      </c>
      <c r="E44" s="9">
        <f t="shared" si="8"/>
        <v>0.09500509887824679</v>
      </c>
      <c r="F44" s="9">
        <f t="shared" si="8"/>
        <v>0.10248477939022556</v>
      </c>
      <c r="G44" s="9">
        <f t="shared" si="8"/>
        <v>0.07435374374551515</v>
      </c>
      <c r="H44" s="9">
        <f t="shared" si="8"/>
        <v>0.04160170905463502</v>
      </c>
    </row>
    <row r="45" spans="1:8" s="2" customFormat="1" ht="11.25">
      <c r="A45" s="2" t="s">
        <v>36</v>
      </c>
      <c r="C45" s="9">
        <f aca="true" t="shared" si="9" ref="C45:H45">(C43)/C13</f>
        <v>0.019689019297080806</v>
      </c>
      <c r="D45" s="9">
        <f t="shared" si="9"/>
        <v>0.01557097513527137</v>
      </c>
      <c r="E45" s="9">
        <f t="shared" si="9"/>
        <v>0.014774749555097878</v>
      </c>
      <c r="F45" s="9">
        <f t="shared" si="9"/>
        <v>0.006369300683245057</v>
      </c>
      <c r="G45" s="9">
        <f t="shared" si="9"/>
        <v>0.0048363478670091845</v>
      </c>
      <c r="H45" s="9">
        <f t="shared" si="9"/>
        <v>0.00441388077225258</v>
      </c>
    </row>
    <row r="46" spans="1:8" s="2" customFormat="1" ht="11.25">
      <c r="A46" s="10" t="s">
        <v>37</v>
      </c>
      <c r="C46" s="9">
        <f aca="true" t="shared" si="10" ref="C46:H46">(C42+C43)/C13</f>
        <v>0.09368400762459575</v>
      </c>
      <c r="D46" s="9">
        <f t="shared" si="10"/>
        <v>0.09578670048122741</v>
      </c>
      <c r="E46" s="9">
        <f t="shared" si="10"/>
        <v>0.10977984843334467</v>
      </c>
      <c r="F46" s="9">
        <f t="shared" si="10"/>
        <v>0.10885408007347061</v>
      </c>
      <c r="G46" s="9">
        <f t="shared" si="10"/>
        <v>0.07919009161252433</v>
      </c>
      <c r="H46" s="9">
        <f t="shared" si="10"/>
        <v>0.046015589826887596</v>
      </c>
    </row>
    <row r="47" spans="1:8" s="2" customFormat="1" ht="11.25">
      <c r="A47" s="2" t="s">
        <v>38</v>
      </c>
      <c r="C47" s="9">
        <v>0.0087</v>
      </c>
      <c r="D47" s="9">
        <v>0</v>
      </c>
      <c r="E47" s="9">
        <v>0</v>
      </c>
      <c r="F47" s="9">
        <v>0</v>
      </c>
      <c r="G47" s="9">
        <v>0</v>
      </c>
      <c r="H47" s="9">
        <f>(0/H13)</f>
        <v>0</v>
      </c>
    </row>
    <row r="48" spans="1:8" s="2" customFormat="1" ht="11.25">
      <c r="A48" s="3" t="s">
        <v>39</v>
      </c>
      <c r="B48" s="3"/>
      <c r="C48" s="11">
        <v>0.0932</v>
      </c>
      <c r="D48" s="11">
        <v>0</v>
      </c>
      <c r="E48" s="11">
        <v>0</v>
      </c>
      <c r="F48" s="11">
        <v>0</v>
      </c>
      <c r="G48" s="11">
        <v>0</v>
      </c>
      <c r="H48" s="12">
        <f>0/(H42+H43)</f>
        <v>0</v>
      </c>
    </row>
    <row r="49" s="2" customFormat="1" ht="11.25">
      <c r="A49" s="5" t="s">
        <v>40</v>
      </c>
    </row>
    <row r="50" spans="1:8" s="2" customFormat="1" ht="11.25">
      <c r="A50" s="2" t="s">
        <v>41</v>
      </c>
      <c r="C50" s="9">
        <f aca="true" t="shared" si="11" ref="C50:H50">C25/(C13+C16)</f>
        <v>0.048904092852779475</v>
      </c>
      <c r="D50" s="9">
        <f t="shared" si="11"/>
        <v>0.050274840993954545</v>
      </c>
      <c r="E50" s="9">
        <f t="shared" si="11"/>
        <v>0.05249713915318934</v>
      </c>
      <c r="F50" s="9">
        <f t="shared" si="11"/>
        <v>0.07242240679447949</v>
      </c>
      <c r="G50" s="9">
        <f t="shared" si="11"/>
        <v>0.06126854686220043</v>
      </c>
      <c r="H50" s="9">
        <f t="shared" si="11"/>
        <v>0.06791236579198276</v>
      </c>
    </row>
    <row r="51" spans="1:8" s="2" customFormat="1" ht="11.25">
      <c r="A51" s="3" t="s">
        <v>42</v>
      </c>
      <c r="B51" s="3"/>
      <c r="C51" s="11">
        <f aca="true" t="shared" si="12" ref="C51:H51">C25/C11</f>
        <v>0.03774218246140733</v>
      </c>
      <c r="D51" s="11">
        <f t="shared" si="12"/>
        <v>0.04255419032973502</v>
      </c>
      <c r="E51" s="11">
        <f t="shared" si="12"/>
        <v>0.04288457993350478</v>
      </c>
      <c r="F51" s="11">
        <f t="shared" si="12"/>
        <v>0.057874243167138885</v>
      </c>
      <c r="G51" s="11">
        <f t="shared" si="12"/>
        <v>0.0474191764627368</v>
      </c>
      <c r="H51" s="11">
        <f t="shared" si="12"/>
        <v>0.054510538830930697</v>
      </c>
    </row>
    <row r="52" spans="1:8" s="2" customFormat="1" ht="11.25">
      <c r="A52" s="5" t="s">
        <v>43</v>
      </c>
      <c r="C52" s="13"/>
      <c r="D52" s="13"/>
      <c r="E52" s="13"/>
      <c r="F52" s="13"/>
      <c r="G52" s="13"/>
      <c r="H52" s="13"/>
    </row>
    <row r="53" spans="1:8" s="2" customFormat="1" ht="11.25">
      <c r="A53" s="2" t="s">
        <v>44</v>
      </c>
      <c r="C53" s="13">
        <f aca="true" t="shared" si="13" ref="C53:H53">C12/C17</f>
        <v>0.13595621315678538</v>
      </c>
      <c r="D53" s="13">
        <f t="shared" si="13"/>
        <v>0.07603726331346203</v>
      </c>
      <c r="E53" s="13">
        <f t="shared" si="13"/>
        <v>0.10080972132285596</v>
      </c>
      <c r="F53" s="13">
        <f t="shared" si="13"/>
        <v>0.11069003564759804</v>
      </c>
      <c r="G53" s="13">
        <f t="shared" si="13"/>
        <v>0.15154506091848774</v>
      </c>
      <c r="H53" s="13">
        <f t="shared" si="13"/>
        <v>0.07144086900848456</v>
      </c>
    </row>
    <row r="54" spans="1:8" s="2" customFormat="1" ht="11.25">
      <c r="A54" s="2" t="s">
        <v>45</v>
      </c>
      <c r="C54" s="13">
        <f aca="true" t="shared" si="14" ref="C54:H54">C12/C11</f>
        <v>0.12366376129430505</v>
      </c>
      <c r="D54" s="13">
        <f t="shared" si="14"/>
        <v>0.06776011612032258</v>
      </c>
      <c r="E54" s="13">
        <f t="shared" si="14"/>
        <v>0.09037126716148036</v>
      </c>
      <c r="F54" s="13">
        <f t="shared" si="14"/>
        <v>0.0976244212638064</v>
      </c>
      <c r="G54" s="13">
        <f t="shared" si="14"/>
        <v>0.13668497173202146</v>
      </c>
      <c r="H54" s="13">
        <f t="shared" si="14"/>
        <v>0.06311771619249751</v>
      </c>
    </row>
    <row r="55" spans="1:8" s="2" customFormat="1" ht="11.25">
      <c r="A55" s="3" t="s">
        <v>46</v>
      </c>
      <c r="B55" s="3"/>
      <c r="C55" s="14">
        <f aca="true" t="shared" si="15" ref="C55:H55">(C12+C16)/C17</f>
        <v>0.33908542442692174</v>
      </c>
      <c r="D55" s="14">
        <f t="shared" si="15"/>
        <v>0.30276798134271515</v>
      </c>
      <c r="E55" s="14">
        <f t="shared" si="15"/>
        <v>0.282683456133289</v>
      </c>
      <c r="F55" s="14">
        <f t="shared" si="15"/>
        <v>0.30206105358456403</v>
      </c>
      <c r="G55" s="14">
        <f t="shared" si="15"/>
        <v>0.33019128444791507</v>
      </c>
      <c r="H55" s="14">
        <f t="shared" si="15"/>
        <v>0.21811698687771364</v>
      </c>
    </row>
    <row r="56" s="2" customFormat="1" ht="11.25">
      <c r="A56" s="5" t="s">
        <v>47</v>
      </c>
    </row>
    <row r="57" spans="1:8" s="2" customFormat="1" ht="11.25">
      <c r="A57" s="2" t="s">
        <v>48</v>
      </c>
      <c r="C57" s="9">
        <f>C40/C28</f>
        <v>0.0016306356866994747</v>
      </c>
      <c r="D57" s="9">
        <f>(D40/0.75)/D28</f>
        <v>0.010740400991999544</v>
      </c>
      <c r="E57" s="9">
        <f>(E40/0.5)/E28</f>
        <v>0.012707254583644296</v>
      </c>
      <c r="F57" s="9">
        <f>((F40)/0.25)/F28</f>
        <v>0.017273592502016773</v>
      </c>
      <c r="G57" s="9">
        <f>G40/G28</f>
        <v>0.012361874282953928</v>
      </c>
      <c r="H57" s="9">
        <f>H40/H28</f>
        <v>0.024632991040091475</v>
      </c>
    </row>
    <row r="58" spans="1:8" s="2" customFormat="1" ht="11.25">
      <c r="A58" s="2" t="s">
        <v>49</v>
      </c>
      <c r="C58" s="9">
        <f>C40/C27</f>
        <v>0.0012602972710893312</v>
      </c>
      <c r="D58" s="9">
        <f>(D40/0.75)/D27</f>
        <v>0.009031450243948972</v>
      </c>
      <c r="E58" s="9">
        <f>(E40/0.5)/E27</f>
        <v>0.010455685833102793</v>
      </c>
      <c r="F58" s="9">
        <f>((F40)/0.25)/F27</f>
        <v>0.01363623754580776</v>
      </c>
      <c r="G58" s="9">
        <f>G40/G27</f>
        <v>0.009745218874712233</v>
      </c>
      <c r="H58" s="9">
        <f>H40/H27</f>
        <v>0.019328148568512612</v>
      </c>
    </row>
    <row r="59" spans="1:8" s="2" customFormat="1" ht="11.25">
      <c r="A59" s="2" t="s">
        <v>50</v>
      </c>
      <c r="C59" s="9">
        <f>C40/C31</f>
        <v>0.029508243686525045</v>
      </c>
      <c r="D59" s="9">
        <f>(D40/0.75)/D31</f>
        <v>0.20893864546490895</v>
      </c>
      <c r="E59" s="9">
        <f>(E40/0.5)/E31</f>
        <v>0.2481668469768001</v>
      </c>
      <c r="F59" s="9">
        <f>((F40)/0.25)/F31</f>
        <v>0.263395503670938</v>
      </c>
      <c r="G59" s="9">
        <f>G40/G31</f>
        <v>0.19119552655234004</v>
      </c>
      <c r="H59" s="9">
        <f>H40/H31</f>
        <v>0.36216281310211945</v>
      </c>
    </row>
    <row r="60" spans="1:8" s="2" customFormat="1" ht="11.25">
      <c r="A60" s="2" t="s">
        <v>51</v>
      </c>
      <c r="C60" s="9">
        <f>C33/C27</f>
        <v>0.09767915645734108</v>
      </c>
      <c r="D60" s="9">
        <f>(D33/0.75)/D27</f>
        <v>0.10074421862309131</v>
      </c>
      <c r="E60" s="9">
        <f>(E33/0.5)/E27</f>
        <v>0.1009002803840673</v>
      </c>
      <c r="F60" s="9">
        <f>((F33)/0.25)/F27</f>
        <v>0.09722901784739384</v>
      </c>
      <c r="G60" s="9">
        <f>G33/G27</f>
        <v>0.09348817310764665</v>
      </c>
      <c r="H60" s="9">
        <f>H33/H27</f>
        <v>0.09354042400587673</v>
      </c>
    </row>
    <row r="61" spans="1:8" s="2" customFormat="1" ht="11.25">
      <c r="A61" s="2" t="s">
        <v>52</v>
      </c>
      <c r="C61" s="9">
        <f>C34/C27</f>
        <v>0.04562153762385021</v>
      </c>
      <c r="D61" s="9">
        <f>(D34/0.75)/D27</f>
        <v>0.04624890944732907</v>
      </c>
      <c r="E61" s="9">
        <f>(E34/0.5)/E27</f>
        <v>0.045679369518852334</v>
      </c>
      <c r="F61" s="9">
        <f>((F34)/0.25)/F27</f>
        <v>0.04342537282160456</v>
      </c>
      <c r="G61" s="9">
        <f>G34/G27</f>
        <v>0.0420963942452156</v>
      </c>
      <c r="H61" s="9">
        <f>H34/H27</f>
        <v>0.043718094640703</v>
      </c>
    </row>
    <row r="62" spans="1:8" s="2" customFormat="1" ht="11.25">
      <c r="A62" s="2" t="s">
        <v>53</v>
      </c>
      <c r="C62" s="9">
        <f>C35/C27</f>
        <v>0.052057618833490873</v>
      </c>
      <c r="D62" s="9">
        <f>(D35)/0.75/D27</f>
        <v>0.05449530917576224</v>
      </c>
      <c r="E62" s="9">
        <f>(E35/0.5)/E27</f>
        <v>0.05522091086521497</v>
      </c>
      <c r="F62" s="9">
        <f>((F35)/0.25)/F27</f>
        <v>0.05380364502578928</v>
      </c>
      <c r="G62" s="9">
        <f>G35/G27</f>
        <v>0.05139177886243104</v>
      </c>
      <c r="H62" s="9">
        <f>H35/H27</f>
        <v>0.04982232936517373</v>
      </c>
    </row>
    <row r="63" spans="1:8" s="2" customFormat="1" ht="11.25">
      <c r="A63" s="2" t="s">
        <v>54</v>
      </c>
      <c r="C63" s="9">
        <f>C38/C37</f>
        <v>0.5424066011121439</v>
      </c>
      <c r="D63" s="9">
        <f>(D38/0.75)/(D37/0.75)</f>
        <v>0.5278806497769548</v>
      </c>
      <c r="E63" s="9">
        <f>(E38/0.5)/(E37/0.5)</f>
        <v>0.505836805863404</v>
      </c>
      <c r="F63" s="9">
        <f>(F38/0.25)/(F37/0.25)</f>
        <v>0.5906872995957061</v>
      </c>
      <c r="G63" s="9">
        <f>G38/G37</f>
        <v>0.5554775912632015</v>
      </c>
      <c r="H63" s="9">
        <f>H38/H37</f>
        <v>0.6052306679287214</v>
      </c>
    </row>
    <row r="64" spans="1:8" s="2" customFormat="1" ht="11.25">
      <c r="A64" s="3" t="s">
        <v>55</v>
      </c>
      <c r="B64" s="3"/>
      <c r="C64" s="11">
        <f>C36/C27</f>
        <v>0.022976565200500447</v>
      </c>
      <c r="D64" s="11">
        <f>(D36/0.75)/D27</f>
        <v>0.025566366144780753</v>
      </c>
      <c r="E64" s="11">
        <f>(E36/0.5)/E27</f>
        <v>0.030463042037352044</v>
      </c>
      <c r="F64" s="11">
        <f>(F36/0.25)/F27</f>
        <v>0.013933703946564647</v>
      </c>
      <c r="G64" s="11">
        <f>G36/G27</f>
        <v>0.014751707555370967</v>
      </c>
      <c r="H64" s="11">
        <f>H36/H27</f>
        <v>0.012644210777978225</v>
      </c>
    </row>
    <row r="65" s="2" customFormat="1" ht="11.25">
      <c r="A65" s="5" t="s">
        <v>56</v>
      </c>
    </row>
    <row r="66" spans="1:8" s="2" customFormat="1" ht="11.25">
      <c r="A66" s="2" t="s">
        <v>57</v>
      </c>
      <c r="C66" s="7">
        <v>453</v>
      </c>
      <c r="D66" s="7">
        <v>377</v>
      </c>
      <c r="E66" s="7">
        <v>327</v>
      </c>
      <c r="F66" s="7">
        <v>322</v>
      </c>
      <c r="G66" s="7">
        <v>318</v>
      </c>
      <c r="H66" s="7">
        <v>321</v>
      </c>
    </row>
    <row r="67" spans="1:8" s="2" customFormat="1" ht="11.25">
      <c r="A67" s="2" t="s">
        <v>58</v>
      </c>
      <c r="C67" s="7">
        <v>9</v>
      </c>
      <c r="D67" s="7">
        <v>9</v>
      </c>
      <c r="E67" s="7">
        <v>9</v>
      </c>
      <c r="F67" s="7">
        <v>9</v>
      </c>
      <c r="G67" s="7">
        <v>9</v>
      </c>
      <c r="H67" s="7">
        <v>9</v>
      </c>
    </row>
    <row r="68" spans="1:8" s="2" customFormat="1" ht="11.25">
      <c r="A68" s="2" t="s">
        <v>59</v>
      </c>
      <c r="C68" s="7">
        <f aca="true" t="shared" si="16" ref="C68:H68">C13/C66</f>
        <v>1030.7064017660043</v>
      </c>
      <c r="D68" s="7">
        <f t="shared" si="16"/>
        <v>1347.129973474801</v>
      </c>
      <c r="E68" s="7">
        <f t="shared" si="16"/>
        <v>1529.388379204893</v>
      </c>
      <c r="F68" s="7">
        <f t="shared" si="16"/>
        <v>1569.055900621118</v>
      </c>
      <c r="G68" s="7">
        <f t="shared" si="16"/>
        <v>1617.0786163522012</v>
      </c>
      <c r="H68" s="7">
        <f t="shared" si="16"/>
        <v>1764.4704049844236</v>
      </c>
    </row>
    <row r="69" spans="1:8" s="2" customFormat="1" ht="11.25">
      <c r="A69" s="2" t="s">
        <v>60</v>
      </c>
      <c r="C69" s="7">
        <f aca="true" t="shared" si="17" ref="C69:H69">C17/C66</f>
        <v>1597.141280353201</v>
      </c>
      <c r="D69" s="7">
        <f t="shared" si="17"/>
        <v>1863.0053050397878</v>
      </c>
      <c r="E69" s="7">
        <f t="shared" si="17"/>
        <v>2096.8440366972477</v>
      </c>
      <c r="F69" s="7">
        <f t="shared" si="17"/>
        <v>2195.4037267080744</v>
      </c>
      <c r="G69" s="7">
        <f t="shared" si="17"/>
        <v>2379.9716981132074</v>
      </c>
      <c r="H69" s="7">
        <f t="shared" si="17"/>
        <v>2316.0996884735205</v>
      </c>
    </row>
    <row r="70" spans="1:8" s="2" customFormat="1" ht="11.25">
      <c r="A70" s="3" t="s">
        <v>61</v>
      </c>
      <c r="B70" s="3"/>
      <c r="C70" s="8">
        <f aca="true" t="shared" si="18" ref="C70:H70">(C40/C66)</f>
        <v>2.273730684326711</v>
      </c>
      <c r="D70" s="8">
        <f t="shared" si="18"/>
        <v>14.220159151193634</v>
      </c>
      <c r="E70" s="8">
        <f t="shared" si="18"/>
        <v>12.62691131498471</v>
      </c>
      <c r="F70" s="8">
        <f t="shared" si="18"/>
        <v>8.968944099378882</v>
      </c>
      <c r="G70" s="8">
        <f t="shared" si="18"/>
        <v>25.751572327044027</v>
      </c>
      <c r="H70" s="8">
        <f t="shared" si="18"/>
        <v>46.84423676012461</v>
      </c>
    </row>
    <row r="71" s="2" customFormat="1" ht="11.25">
      <c r="A71" s="5" t="s">
        <v>62</v>
      </c>
    </row>
    <row r="72" spans="1:8" s="2" customFormat="1" ht="11.25">
      <c r="A72" s="2" t="s">
        <v>63</v>
      </c>
      <c r="C72" s="9">
        <f>(C11/G11)-1</f>
        <v>-0.052065755226954225</v>
      </c>
      <c r="D72" s="9">
        <f>(D11/794765)-1</f>
        <v>-0.008325731505539391</v>
      </c>
      <c r="E72" s="9">
        <f>(E11/814752)-1</f>
        <v>-0.06122722006205572</v>
      </c>
      <c r="F72" s="9">
        <f>(F11/892778)-1</f>
        <v>-0.1022056995132048</v>
      </c>
      <c r="G72" s="9">
        <f>(G11/H11)-1</f>
        <v>-0.002846084465132237</v>
      </c>
      <c r="H72" s="9">
        <f>(H11/714462)-1</f>
        <v>0.17781911424260488</v>
      </c>
    </row>
    <row r="73" spans="1:8" s="2" customFormat="1" ht="11.25">
      <c r="A73" s="2" t="s">
        <v>64</v>
      </c>
      <c r="C73" s="9">
        <f>(C13/G13)-1</f>
        <v>-0.09202284576386877</v>
      </c>
      <c r="D73" s="9">
        <f>D13/548648-1</f>
        <v>-0.07432816669339903</v>
      </c>
      <c r="E73" s="9">
        <f>E13/547884-1</f>
        <v>-0.08719728993728604</v>
      </c>
      <c r="F73" s="9">
        <f>F13/568504-1</f>
        <v>-0.1112885749264737</v>
      </c>
      <c r="G73" s="9">
        <f>(G13/H13)-1</f>
        <v>-0.09209827064151344</v>
      </c>
      <c r="H73" s="9">
        <f>H13/419651-1</f>
        <v>0.34968104448696646</v>
      </c>
    </row>
    <row r="74" spans="2:8" s="2" customFormat="1" ht="11.25">
      <c r="B74" s="2" t="s">
        <v>13</v>
      </c>
      <c r="C74" s="9">
        <f>(C14/G14)-1</f>
        <v>-0.028617513918518078</v>
      </c>
      <c r="D74" s="9">
        <f>(D14/499582)-1</f>
        <v>0.006221200923972381</v>
      </c>
      <c r="E74" s="9">
        <f>(E14/495177)-1</f>
        <v>-0.0067915109142790975</v>
      </c>
      <c r="F74" s="9">
        <f>(F14/485775)-1</f>
        <v>0.024669857444290066</v>
      </c>
      <c r="G74" s="9">
        <f>(G14/H14)-1</f>
        <v>-0.02976093115487677</v>
      </c>
      <c r="H74" s="9">
        <f>(H14/349581)-1</f>
        <v>0.41659014648965487</v>
      </c>
    </row>
    <row r="75" spans="2:8" s="2" customFormat="1" ht="11.25">
      <c r="B75" s="2" t="s">
        <v>14</v>
      </c>
      <c r="C75" s="9">
        <f>(C15/G15)-1</f>
        <v>-0.9945194928309041</v>
      </c>
      <c r="D75" s="9">
        <f>(D15/49066)-1</f>
        <v>-0.8944686748461257</v>
      </c>
      <c r="E75" s="9">
        <f>(E15/52707)-1</f>
        <v>-0.8426015519760184</v>
      </c>
      <c r="F75" s="9">
        <f>(F15/82729)-1</f>
        <v>-0.9096205683617595</v>
      </c>
      <c r="G75" s="9">
        <f>(G15/H15)-1</f>
        <v>-0.5257789890702707</v>
      </c>
      <c r="H75" s="9">
        <f>(H15/70070)-1</f>
        <v>0.01586984444127304</v>
      </c>
    </row>
    <row r="76" spans="1:8" s="2" customFormat="1" ht="11.25">
      <c r="A76" s="2" t="s">
        <v>65</v>
      </c>
      <c r="C76" s="9">
        <f>(C17/G17)-1</f>
        <v>-0.044033608559903015</v>
      </c>
      <c r="D76" s="9">
        <f>D17/711561-1</f>
        <v>-0.012940563071894062</v>
      </c>
      <c r="E76" s="9">
        <f>E17/736268-1</f>
        <v>-0.06872497514492004</v>
      </c>
      <c r="F76" s="9">
        <f>F17/804863-1</f>
        <v>-0.12168903279191612</v>
      </c>
      <c r="G76" s="9">
        <f>(G17/H17)-1</f>
        <v>0.017973873791474526</v>
      </c>
      <c r="H76" s="9">
        <f>H17/635035-1</f>
        <v>0.17075121843677898</v>
      </c>
    </row>
    <row r="77" spans="2:8" s="2" customFormat="1" ht="11.25">
      <c r="B77" s="2" t="s">
        <v>13</v>
      </c>
      <c r="C77" s="9">
        <f>(C18/G18)-1</f>
        <v>0.04953697113814681</v>
      </c>
      <c r="D77" s="9">
        <f>(D18/497285)-1</f>
        <v>-0.047005238444755015</v>
      </c>
      <c r="E77" s="9">
        <f>(E18/489508)-1</f>
        <v>-0.029074090719661383</v>
      </c>
      <c r="F77" s="9">
        <f>(F18/530142)-1</f>
        <v>-0.09070400006036117</v>
      </c>
      <c r="G77" s="9">
        <f>(G18/H18)-1</f>
        <v>-0.009988726416658378</v>
      </c>
      <c r="H77" s="9">
        <f>(H18/399099)-1</f>
        <v>0.20908346049476445</v>
      </c>
    </row>
    <row r="78" spans="2:8" s="2" customFormat="1" ht="11.25">
      <c r="B78" s="2" t="s">
        <v>14</v>
      </c>
      <c r="C78" s="9">
        <f>(C22/G22)-1</f>
        <v>-0.2041905075831133</v>
      </c>
      <c r="D78" s="9">
        <f>(D22/214276)-1</f>
        <v>0.06611566391009727</v>
      </c>
      <c r="E78" s="9">
        <f>(E22/246760)-1</f>
        <v>-0.14738207164856543</v>
      </c>
      <c r="F78" s="9">
        <f>(F22/274722)-1</f>
        <v>-0.18148528330457703</v>
      </c>
      <c r="G78" s="9">
        <f>(G22/H22)-1</f>
        <v>0.06968695865462737</v>
      </c>
      <c r="H78" s="9">
        <f>(H22/235936)-1</f>
        <v>0.10591007730910085</v>
      </c>
    </row>
    <row r="79" spans="1:8" s="2" customFormat="1" ht="11.25">
      <c r="A79" s="2" t="s">
        <v>66</v>
      </c>
      <c r="C79" s="9">
        <f>(C25/G25)-1</f>
        <v>-0.24551394822819805</v>
      </c>
      <c r="D79" s="9">
        <f>(D25/34883)-1</f>
        <v>-0.0385287962617894</v>
      </c>
      <c r="E79" s="9">
        <f>(E25/33751)-1</f>
        <v>-0.02814731415365468</v>
      </c>
      <c r="F79" s="9">
        <f>(F25/41328)-1</f>
        <v>0.1224351529229577</v>
      </c>
      <c r="G79" s="9">
        <f>(G25/H25)-1</f>
        <v>-0.13256741732249133</v>
      </c>
      <c r="H79" s="9">
        <f>(H25/37169)-1</f>
        <v>0.2341198310419974</v>
      </c>
    </row>
    <row r="80" spans="1:8" s="2" customFormat="1" ht="11.25">
      <c r="A80" s="3" t="s">
        <v>67</v>
      </c>
      <c r="B80" s="3"/>
      <c r="C80" s="11">
        <f>(C40/G40)-1</f>
        <v>-0.874221516668702</v>
      </c>
      <c r="D80" s="11">
        <f>(D40/8569)-1</f>
        <v>-0.3743727389427004</v>
      </c>
      <c r="E80" s="11">
        <f>(E40/6036)-1</f>
        <v>-0.3159377070907886</v>
      </c>
      <c r="F80" s="11">
        <f>(F40/3353)-1</f>
        <v>-0.1386817775126752</v>
      </c>
      <c r="G80" s="11">
        <f>(G40/H40)-1</f>
        <v>-0.4554099886945534</v>
      </c>
      <c r="H80" s="11">
        <f>(H40/7321)-1</f>
        <v>1.053954377817238</v>
      </c>
    </row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2002-05-02T14:57:24Z</cp:lastPrinted>
  <dcterms:created xsi:type="dcterms:W3CDTF">2002-03-08T14:15:03Z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