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Unión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<sst xmlns="http://schemas.openxmlformats.org/spreadsheetml/2006/main" count="80" uniqueCount="68">
  <si>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18-35    BANCO UNION, C.A.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</si>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</sst>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5" sqref="E15"/>
    </sheetView>
  </sheetViews>
  <sheetFormatPr defaultColWidth="11.421875" defaultRowHeight="12.75"/>
  <cols>
    <col min="1" max="1" width="1.1484375" style="1" customWidth="1"/>
    <col min="2" max="2" width="38.28125" style="1" customWidth="1"/>
    <col min="3" max="3" width="11.421875" style="1" customWidth="1"/>
    <col min="4" max="4" width="10.140625" style="1" customWidth="1"/>
    <col min="5" max="5" width="10.00390625" style="1" customWidth="1"/>
    <col min="6" max="6" width="9.7109375" style="1" customWidth="1"/>
    <col min="7" max="16384" width="11.421875" style="1" customWidth="1"/>
  </cols>
  <sheetData>
    <row r="1" spans="2:8" s="2" customFormat="1" ht="11.25">
      <c r="B1" s="14"/>
      <c r="C1" s="14"/>
      <c r="D1" s="14"/>
      <c r="E1" s="14"/>
      <c r="F1" s="14"/>
      <c r="G1" s="14"/>
      <c r="H1" s="14"/>
    </row>
    <row r="2" spans="2:8" s="2" customFormat="1" ht="11.25">
      <c r="B2" s="14"/>
      <c r="C2" s="14"/>
      <c r="D2" s="14"/>
      <c r="E2" s="14"/>
      <c r="F2" s="14" t="s">
        <v>0</v>
      </c>
      <c r="G2" s="14"/>
      <c r="H2" s="14"/>
    </row>
    <row r="3" spans="2:8" s="2" customFormat="1" ht="11.25">
      <c r="B3" s="15"/>
      <c r="C3" s="15"/>
      <c r="D3" s="15"/>
      <c r="E3" s="15"/>
      <c r="F3" s="14" t="s">
        <v>1</v>
      </c>
      <c r="G3" s="15"/>
      <c r="H3" s="15"/>
    </row>
    <row r="4" spans="1:8" s="2" customFormat="1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s="2" customFormat="1" ht="11.25">
      <c r="A5" s="15"/>
      <c r="B5" s="15"/>
      <c r="C5" s="15"/>
      <c r="D5" s="15"/>
      <c r="E5" s="15"/>
      <c r="F5" s="15"/>
      <c r="G5" s="15"/>
      <c r="H5" s="15"/>
    </row>
    <row r="6" spans="1:8" s="2" customFormat="1" ht="11.25">
      <c r="A6" s="3"/>
      <c r="B6" s="3"/>
      <c r="C6" s="3"/>
      <c r="D6" s="3"/>
      <c r="E6" s="3"/>
      <c r="F6" s="3"/>
      <c r="G6" s="3"/>
      <c r="H6" s="3"/>
    </row>
    <row r="7" spans="1:8" s="2" customFormat="1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s="2" customFormat="1" ht="11.25">
      <c r="A8" s="5" t="s">
        <v>9</v>
      </c>
      <c r="B8" s="5"/>
      <c r="C8" s="6"/>
      <c r="D8" s="6"/>
      <c r="E8" s="6"/>
      <c r="F8" s="6"/>
      <c r="G8" s="6"/>
      <c r="H8" s="6"/>
    </row>
    <row r="9" spans="1:8" s="2" customFormat="1" ht="11.25">
      <c r="A9" s="2" t="s">
        <v>10</v>
      </c>
      <c r="C9" s="7">
        <v>208632</v>
      </c>
      <c r="D9" s="7">
        <v>168946</v>
      </c>
      <c r="E9" s="7">
        <v>160837</v>
      </c>
      <c r="F9" s="7">
        <v>166371</v>
      </c>
      <c r="G9" s="7">
        <v>146638</v>
      </c>
      <c r="H9" s="7">
        <v>115116</v>
      </c>
    </row>
    <row r="10" spans="1:8" s="2" customFormat="1" ht="11.25">
      <c r="A10" s="2" t="s">
        <v>11</v>
      </c>
      <c r="C10" s="7">
        <v>63795</v>
      </c>
      <c r="D10" s="7">
        <v>30456</v>
      </c>
      <c r="E10" s="7">
        <v>29897</v>
      </c>
      <c r="F10" s="7">
        <v>31215</v>
      </c>
      <c r="G10" s="7">
        <v>44560</v>
      </c>
      <c r="H10" s="7">
        <v>9799</v>
      </c>
    </row>
    <row r="11" spans="1:8" s="2" customFormat="1" ht="11.25">
      <c r="A11" s="2" t="s">
        <v>12</v>
      </c>
      <c r="C11" s="7">
        <f aca="true" t="shared" si="0" ref="C11:H11">C12+C13</f>
        <v>45308</v>
      </c>
      <c r="D11" s="7">
        <f t="shared" si="0"/>
        <v>43390</v>
      </c>
      <c r="E11" s="7">
        <f t="shared" si="0"/>
        <v>44606</v>
      </c>
      <c r="F11" s="7">
        <f t="shared" si="0"/>
        <v>34409</v>
      </c>
      <c r="G11" s="7">
        <f t="shared" si="0"/>
        <v>6161</v>
      </c>
      <c r="H11" s="7">
        <f t="shared" si="0"/>
        <v>13540</v>
      </c>
    </row>
    <row r="12" spans="2:8" s="2" customFormat="1" ht="11.25">
      <c r="B12" s="2" t="s">
        <v>13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527</v>
      </c>
    </row>
    <row r="13" spans="2:8" s="2" customFormat="1" ht="11.25">
      <c r="B13" s="2" t="s">
        <v>14</v>
      </c>
      <c r="C13" s="7">
        <v>45308</v>
      </c>
      <c r="D13" s="7">
        <v>43390</v>
      </c>
      <c r="E13" s="7">
        <v>44606</v>
      </c>
      <c r="F13" s="7">
        <v>34409</v>
      </c>
      <c r="G13" s="7">
        <v>6161</v>
      </c>
      <c r="H13" s="7">
        <v>13013</v>
      </c>
    </row>
    <row r="14" spans="1:8" s="2" customFormat="1" ht="11.25">
      <c r="A14" s="2" t="s">
        <v>15</v>
      </c>
      <c r="C14" s="7">
        <v>87609</v>
      </c>
      <c r="D14" s="7">
        <v>82822</v>
      </c>
      <c r="E14" s="7">
        <v>75567</v>
      </c>
      <c r="F14" s="7">
        <v>76412</v>
      </c>
      <c r="G14" s="7">
        <v>76411</v>
      </c>
      <c r="H14" s="7">
        <v>78113</v>
      </c>
    </row>
    <row r="15" spans="1:8" s="2" customFormat="1" ht="11.25">
      <c r="A15" s="2" t="s">
        <v>16</v>
      </c>
      <c r="C15" s="7">
        <f aca="true" t="shared" si="1" ref="C15:H15">C16+C20</f>
        <v>127436</v>
      </c>
      <c r="D15" s="7">
        <f t="shared" si="1"/>
        <v>82592</v>
      </c>
      <c r="E15" s="7">
        <f t="shared" si="1"/>
        <v>76277</v>
      </c>
      <c r="F15" s="7">
        <f t="shared" si="1"/>
        <v>77662</v>
      </c>
      <c r="G15" s="7">
        <f t="shared" si="1"/>
        <v>67507</v>
      </c>
      <c r="H15" s="7">
        <f t="shared" si="1"/>
        <v>38724</v>
      </c>
    </row>
    <row r="16" spans="2:8" s="2" customFormat="1" ht="11.25">
      <c r="B16" s="2" t="s">
        <v>13</v>
      </c>
      <c r="C16" s="7">
        <f aca="true" t="shared" si="2" ref="C16:H16">SUM(C17:C19)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</row>
    <row r="17" spans="2:8" s="2" customFormat="1" ht="11.25">
      <c r="B17" s="2" t="s">
        <v>17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2:8" s="2" customFormat="1" ht="11.25">
      <c r="B18" s="2" t="s">
        <v>18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2:8" s="2" customFormat="1" ht="11.25">
      <c r="B19" s="2" t="s">
        <v>19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2:8" s="2" customFormat="1" ht="11.25">
      <c r="B20" s="2" t="s">
        <v>14</v>
      </c>
      <c r="C20" s="7">
        <f aca="true" t="shared" si="3" ref="C20:H20">SUM(C21:C22)</f>
        <v>127436</v>
      </c>
      <c r="D20" s="7">
        <f t="shared" si="3"/>
        <v>82592</v>
      </c>
      <c r="E20" s="7">
        <f t="shared" si="3"/>
        <v>76277</v>
      </c>
      <c r="F20" s="7">
        <f t="shared" si="3"/>
        <v>77662</v>
      </c>
      <c r="G20" s="7">
        <f t="shared" si="3"/>
        <v>67507</v>
      </c>
      <c r="H20" s="7">
        <f t="shared" si="3"/>
        <v>38724</v>
      </c>
    </row>
    <row r="21" spans="2:8" s="2" customFormat="1" ht="11.25">
      <c r="B21" s="2" t="s">
        <v>18</v>
      </c>
      <c r="C21" s="7">
        <v>7634</v>
      </c>
      <c r="D21" s="7">
        <v>16567</v>
      </c>
      <c r="E21" s="7">
        <v>7351</v>
      </c>
      <c r="F21" s="7">
        <v>5930</v>
      </c>
      <c r="G21" s="7">
        <v>3213</v>
      </c>
      <c r="H21" s="7">
        <v>2735</v>
      </c>
    </row>
    <row r="22" spans="2:8" s="2" customFormat="1" ht="11.25">
      <c r="B22" s="2" t="s">
        <v>19</v>
      </c>
      <c r="C22" s="7">
        <v>119802</v>
      </c>
      <c r="D22" s="7">
        <v>66025</v>
      </c>
      <c r="E22" s="7">
        <v>68926</v>
      </c>
      <c r="F22" s="7">
        <v>71732</v>
      </c>
      <c r="G22" s="7">
        <v>64294</v>
      </c>
      <c r="H22" s="7">
        <v>35989</v>
      </c>
    </row>
    <row r="23" spans="1:8" s="2" customFormat="1" ht="11.25">
      <c r="A23" s="3" t="s">
        <v>20</v>
      </c>
      <c r="B23" s="3"/>
      <c r="C23" s="8">
        <v>39492</v>
      </c>
      <c r="D23" s="8">
        <v>39127</v>
      </c>
      <c r="E23" s="8">
        <v>38679</v>
      </c>
      <c r="F23" s="8">
        <v>47026</v>
      </c>
      <c r="G23" s="8">
        <v>46385</v>
      </c>
      <c r="H23" s="8">
        <v>45377</v>
      </c>
    </row>
    <row r="24" spans="1:8" s="2" customFormat="1" ht="11.25">
      <c r="A24" s="5" t="s">
        <v>21</v>
      </c>
      <c r="C24" s="7"/>
      <c r="D24" s="7"/>
      <c r="E24" s="7"/>
      <c r="F24" s="7"/>
      <c r="G24" s="7"/>
      <c r="H24" s="7"/>
    </row>
    <row r="25" spans="1:8" s="2" customFormat="1" ht="11.25">
      <c r="A25" s="2" t="s">
        <v>10</v>
      </c>
      <c r="C25" s="7">
        <f>(C9+G9)/2</f>
        <v>177635</v>
      </c>
      <c r="D25" s="7">
        <f>(D9+119624)/2</f>
        <v>144285</v>
      </c>
      <c r="E25" s="7">
        <f>(E9+116994)/2</f>
        <v>138915.5</v>
      </c>
      <c r="F25" s="7">
        <f>(F9+121297)/2</f>
        <v>143834</v>
      </c>
      <c r="G25" s="7">
        <f>(G9+H9)/2</f>
        <v>130877</v>
      </c>
      <c r="H25" s="7">
        <f>(H9+113012)/2</f>
        <v>114064</v>
      </c>
    </row>
    <row r="26" spans="1:8" s="2" customFormat="1" ht="11.25">
      <c r="A26" s="2" t="s">
        <v>22</v>
      </c>
      <c r="C26" s="7">
        <f aca="true" t="shared" si="4" ref="C26:H26">C27+C28</f>
        <v>107744.5</v>
      </c>
      <c r="D26" s="7">
        <f t="shared" si="4"/>
        <v>107356.5</v>
      </c>
      <c r="E26" s="7">
        <f t="shared" si="4"/>
        <v>104588</v>
      </c>
      <c r="F26" s="7">
        <f t="shared" si="4"/>
        <v>104346.5</v>
      </c>
      <c r="G26" s="7">
        <f t="shared" si="4"/>
        <v>87112.5</v>
      </c>
      <c r="H26" s="7">
        <f t="shared" si="4"/>
        <v>95119.5</v>
      </c>
    </row>
    <row r="27" spans="2:8" s="2" customFormat="1" ht="11.25">
      <c r="B27" s="2" t="s">
        <v>12</v>
      </c>
      <c r="C27" s="7">
        <f>(C11+G11)/2</f>
        <v>25734.5</v>
      </c>
      <c r="D27" s="7">
        <f>(D11+11232)/2</f>
        <v>27311</v>
      </c>
      <c r="E27" s="7">
        <f>(E11+11735)/2</f>
        <v>28170.5</v>
      </c>
      <c r="F27" s="7">
        <f>(F11+19759)/2</f>
        <v>27084</v>
      </c>
      <c r="G27" s="7">
        <f>(G11+H11)/2</f>
        <v>9850.5</v>
      </c>
      <c r="H27" s="7">
        <f>(H11+18770)/2</f>
        <v>16155</v>
      </c>
    </row>
    <row r="28" spans="2:8" s="2" customFormat="1" ht="11.25">
      <c r="B28" s="2" t="s">
        <v>15</v>
      </c>
      <c r="C28" s="7">
        <f>(C14+G14)/2</f>
        <v>82010</v>
      </c>
      <c r="D28" s="7">
        <f>(D14+77269)/2</f>
        <v>80045.5</v>
      </c>
      <c r="E28" s="7">
        <f>(E14+77268)/2</f>
        <v>76417.5</v>
      </c>
      <c r="F28" s="7">
        <f>(F14+78113)/2</f>
        <v>77262.5</v>
      </c>
      <c r="G28" s="7">
        <f>(G14+H14)/2</f>
        <v>77262</v>
      </c>
      <c r="H28" s="7">
        <f>(H14+79816)/2</f>
        <v>78964.5</v>
      </c>
    </row>
    <row r="29" spans="1:8" s="2" customFormat="1" ht="11.25">
      <c r="A29" s="3" t="s">
        <v>20</v>
      </c>
      <c r="B29" s="3"/>
      <c r="C29" s="8">
        <f>(C23+G23)/2</f>
        <v>42938.5</v>
      </c>
      <c r="D29" s="8">
        <f>(D23+45809)/2</f>
        <v>42468</v>
      </c>
      <c r="E29" s="8">
        <f>(E23+45377)/2</f>
        <v>42028</v>
      </c>
      <c r="F29" s="8">
        <f>(F23+45827)/2</f>
        <v>46426.5</v>
      </c>
      <c r="G29" s="8">
        <f>(G23+H23)/2</f>
        <v>45881</v>
      </c>
      <c r="H29" s="8">
        <f>(H23+44910)/2</f>
        <v>45143.5</v>
      </c>
    </row>
    <row r="30" s="2" customFormat="1" ht="11.25">
      <c r="A30" s="5" t="s">
        <v>23</v>
      </c>
    </row>
    <row r="31" spans="1:8" s="2" customFormat="1" ht="11.25">
      <c r="A31" s="2" t="s">
        <v>24</v>
      </c>
      <c r="C31" s="7">
        <f>3325+D31</f>
        <v>11775</v>
      </c>
      <c r="D31" s="7">
        <f>3079+E31</f>
        <v>8450</v>
      </c>
      <c r="E31" s="7">
        <f>2850+F31</f>
        <v>5371</v>
      </c>
      <c r="F31" s="7">
        <v>2521</v>
      </c>
      <c r="G31" s="7">
        <v>6757</v>
      </c>
      <c r="H31" s="7">
        <v>6651</v>
      </c>
    </row>
    <row r="32" spans="1:8" s="2" customFormat="1" ht="11.25">
      <c r="A32" s="2" t="s">
        <v>25</v>
      </c>
      <c r="C32" s="7">
        <f>2203+D32</f>
        <v>7788</v>
      </c>
      <c r="D32" s="7">
        <f>2008+E32</f>
        <v>5585</v>
      </c>
      <c r="E32" s="7">
        <f>1860+F32</f>
        <v>3577</v>
      </c>
      <c r="F32" s="7">
        <v>1717</v>
      </c>
      <c r="G32" s="7">
        <v>4330</v>
      </c>
      <c r="H32" s="7">
        <v>4888</v>
      </c>
    </row>
    <row r="33" spans="1:8" s="2" customFormat="1" ht="11.25">
      <c r="A33" s="2" t="s">
        <v>26</v>
      </c>
      <c r="C33" s="7">
        <f aca="true" t="shared" si="5" ref="C33:H33">C31-C32</f>
        <v>3987</v>
      </c>
      <c r="D33" s="7">
        <f t="shared" si="5"/>
        <v>2865</v>
      </c>
      <c r="E33" s="7">
        <f t="shared" si="5"/>
        <v>1794</v>
      </c>
      <c r="F33" s="7">
        <f t="shared" si="5"/>
        <v>804</v>
      </c>
      <c r="G33" s="7">
        <f t="shared" si="5"/>
        <v>2427</v>
      </c>
      <c r="H33" s="7">
        <f t="shared" si="5"/>
        <v>1763</v>
      </c>
    </row>
    <row r="34" spans="1:8" s="2" customFormat="1" ht="11.25">
      <c r="A34" s="2" t="s">
        <v>27</v>
      </c>
      <c r="C34" s="7">
        <f>1198+D34</f>
        <v>3353</v>
      </c>
      <c r="D34" s="7">
        <f>1+E34</f>
        <v>2155</v>
      </c>
      <c r="E34" s="7">
        <f>2150+F34</f>
        <v>2154</v>
      </c>
      <c r="F34" s="7">
        <v>4</v>
      </c>
      <c r="G34" s="7">
        <v>2291</v>
      </c>
      <c r="H34" s="7">
        <v>30</v>
      </c>
    </row>
    <row r="35" spans="1:8" s="2" customFormat="1" ht="11.25">
      <c r="A35" s="2" t="s">
        <v>28</v>
      </c>
      <c r="C35" s="7">
        <f aca="true" t="shared" si="6" ref="C35:H35">C33+C34</f>
        <v>7340</v>
      </c>
      <c r="D35" s="7">
        <f t="shared" si="6"/>
        <v>5020</v>
      </c>
      <c r="E35" s="7">
        <f t="shared" si="6"/>
        <v>3948</v>
      </c>
      <c r="F35" s="7">
        <f t="shared" si="6"/>
        <v>808</v>
      </c>
      <c r="G35" s="7">
        <f t="shared" si="6"/>
        <v>4718</v>
      </c>
      <c r="H35" s="7">
        <f t="shared" si="6"/>
        <v>1793</v>
      </c>
    </row>
    <row r="36" spans="1:8" s="2" customFormat="1" ht="11.25">
      <c r="A36" s="2" t="s">
        <v>29</v>
      </c>
      <c r="C36" s="7">
        <f>1656+D36</f>
        <v>2400</v>
      </c>
      <c r="D36" s="7">
        <f>342+E36</f>
        <v>744</v>
      </c>
      <c r="E36" s="7">
        <f>232+F36</f>
        <v>402</v>
      </c>
      <c r="F36" s="7">
        <v>170</v>
      </c>
      <c r="G36" s="7">
        <v>960</v>
      </c>
      <c r="H36" s="7">
        <v>876</v>
      </c>
    </row>
    <row r="37" spans="1:8" s="2" customFormat="1" ht="11.25">
      <c r="A37" s="2" t="s">
        <v>30</v>
      </c>
      <c r="C37" s="7">
        <f aca="true" t="shared" si="7" ref="C37:H37">C35-C36</f>
        <v>4940</v>
      </c>
      <c r="D37" s="7">
        <f t="shared" si="7"/>
        <v>4276</v>
      </c>
      <c r="E37" s="7">
        <f t="shared" si="7"/>
        <v>3546</v>
      </c>
      <c r="F37" s="7">
        <f t="shared" si="7"/>
        <v>638</v>
      </c>
      <c r="G37" s="7">
        <f t="shared" si="7"/>
        <v>3758</v>
      </c>
      <c r="H37" s="7">
        <f t="shared" si="7"/>
        <v>917</v>
      </c>
    </row>
    <row r="38" spans="1:8" s="2" customFormat="1" ht="11.25">
      <c r="A38" s="3" t="s">
        <v>31</v>
      </c>
      <c r="B38" s="3"/>
      <c r="C38" s="8">
        <f>364+D38</f>
        <v>2842</v>
      </c>
      <c r="D38" s="8">
        <f>448+E38</f>
        <v>2478</v>
      </c>
      <c r="E38" s="8">
        <f>1392+F38</f>
        <v>2030</v>
      </c>
      <c r="F38" s="8">
        <v>638</v>
      </c>
      <c r="G38" s="8">
        <v>1776</v>
      </c>
      <c r="H38" s="8">
        <v>468</v>
      </c>
    </row>
    <row r="39" spans="1:8" s="2" customFormat="1" ht="11.25">
      <c r="A39" s="5" t="s">
        <v>32</v>
      </c>
      <c r="C39" s="7"/>
      <c r="D39" s="7"/>
      <c r="E39" s="7"/>
      <c r="F39" s="7"/>
      <c r="G39" s="7"/>
      <c r="H39" s="7"/>
    </row>
    <row r="40" spans="1:8" s="2" customFormat="1" ht="11.25">
      <c r="A40" s="2" t="s">
        <v>33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</row>
    <row r="41" spans="1:8" s="2" customFormat="1" ht="11.25">
      <c r="A41" s="2" t="s">
        <v>34</v>
      </c>
      <c r="C41" s="7">
        <v>0</v>
      </c>
      <c r="D41" s="7">
        <v>0</v>
      </c>
      <c r="E41" s="7">
        <v>1000</v>
      </c>
      <c r="F41" s="7">
        <v>0</v>
      </c>
      <c r="G41" s="7">
        <v>0</v>
      </c>
      <c r="H41" s="7">
        <v>6000</v>
      </c>
    </row>
    <row r="42" spans="1:8" s="2" customFormat="1" ht="11.25">
      <c r="A42" s="2" t="s">
        <v>35</v>
      </c>
      <c r="C42" s="9">
        <f aca="true" t="shared" si="8" ref="C42:H42">C40/C11</f>
        <v>0</v>
      </c>
      <c r="D42" s="9">
        <f t="shared" si="8"/>
        <v>0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</row>
    <row r="43" spans="1:8" s="2" customFormat="1" ht="11.25">
      <c r="A43" s="2" t="s">
        <v>36</v>
      </c>
      <c r="C43" s="9">
        <f aca="true" t="shared" si="9" ref="C43:H43">(C41)/C11</f>
        <v>0</v>
      </c>
      <c r="D43" s="9">
        <f t="shared" si="9"/>
        <v>0</v>
      </c>
      <c r="E43" s="9">
        <f t="shared" si="9"/>
        <v>0.022418508720799892</v>
      </c>
      <c r="F43" s="9">
        <f t="shared" si="9"/>
        <v>0</v>
      </c>
      <c r="G43" s="9">
        <f t="shared" si="9"/>
        <v>0</v>
      </c>
      <c r="H43" s="9">
        <f t="shared" si="9"/>
        <v>0.4431314623338257</v>
      </c>
    </row>
    <row r="44" spans="1:8" s="2" customFormat="1" ht="11.25">
      <c r="A44" s="10" t="s">
        <v>37</v>
      </c>
      <c r="C44" s="9">
        <f aca="true" t="shared" si="10" ref="C44:H44">(C40+C41)/C11</f>
        <v>0</v>
      </c>
      <c r="D44" s="9">
        <f t="shared" si="10"/>
        <v>0</v>
      </c>
      <c r="E44" s="9">
        <f t="shared" si="10"/>
        <v>0.022418508720799892</v>
      </c>
      <c r="F44" s="9">
        <f t="shared" si="10"/>
        <v>0</v>
      </c>
      <c r="G44" s="9">
        <f t="shared" si="10"/>
        <v>0</v>
      </c>
      <c r="H44" s="9">
        <f t="shared" si="10"/>
        <v>0.4431314623338257</v>
      </c>
    </row>
    <row r="45" spans="1:8" s="2" customFormat="1" ht="11.25">
      <c r="A45" s="2" t="s">
        <v>38</v>
      </c>
      <c r="C45" s="9">
        <v>0.0524</v>
      </c>
      <c r="D45" s="9">
        <v>0.0478</v>
      </c>
      <c r="E45" s="9">
        <v>0.0403</v>
      </c>
      <c r="F45" s="9">
        <v>0.0081</v>
      </c>
      <c r="G45" s="9">
        <v>0.0453</v>
      </c>
      <c r="H45" s="9">
        <f>(449/H11)</f>
        <v>0.033161004431314624</v>
      </c>
    </row>
    <row r="46" spans="1:8" s="2" customFormat="1" ht="11.25">
      <c r="A46" s="3" t="s">
        <v>39</v>
      </c>
      <c r="B46" s="3"/>
      <c r="C46" s="11">
        <v>0</v>
      </c>
      <c r="D46" s="11">
        <v>0</v>
      </c>
      <c r="E46" s="11">
        <v>1.7955</v>
      </c>
      <c r="F46" s="11">
        <v>0</v>
      </c>
      <c r="G46" s="11">
        <v>0</v>
      </c>
      <c r="H46" s="11">
        <f>449/(H40+H41)</f>
        <v>0.07483333333333334</v>
      </c>
    </row>
    <row r="47" s="2" customFormat="1" ht="11.25">
      <c r="A47" s="5" t="s">
        <v>40</v>
      </c>
    </row>
    <row r="48" spans="1:8" s="2" customFormat="1" ht="11.25">
      <c r="A48" s="2" t="s">
        <v>41</v>
      </c>
      <c r="C48" s="9">
        <f aca="true" t="shared" si="11" ref="C48:H48">C23/(C11+C14)</f>
        <v>0.2971177501749212</v>
      </c>
      <c r="D48" s="9">
        <f t="shared" si="11"/>
        <v>0.31001014166640256</v>
      </c>
      <c r="E48" s="9">
        <f t="shared" si="11"/>
        <v>0.32186098374842936</v>
      </c>
      <c r="F48" s="9">
        <f t="shared" si="11"/>
        <v>0.4243419568493336</v>
      </c>
      <c r="G48" s="9">
        <f t="shared" si="11"/>
        <v>0.5617521678050671</v>
      </c>
      <c r="H48" s="9">
        <f t="shared" si="11"/>
        <v>0.4950956324397456</v>
      </c>
    </row>
    <row r="49" spans="1:8" s="2" customFormat="1" ht="11.25">
      <c r="A49" s="3" t="s">
        <v>42</v>
      </c>
      <c r="B49" s="3"/>
      <c r="C49" s="11">
        <f aca="true" t="shared" si="12" ref="C49:H49">C23/C9</f>
        <v>0.18929023352122398</v>
      </c>
      <c r="D49" s="11">
        <f t="shared" si="12"/>
        <v>0.23159471073597482</v>
      </c>
      <c r="E49" s="11">
        <f t="shared" si="12"/>
        <v>0.24048570913409228</v>
      </c>
      <c r="F49" s="11">
        <f t="shared" si="12"/>
        <v>0.28265743428842766</v>
      </c>
      <c r="G49" s="11">
        <f t="shared" si="12"/>
        <v>0.31632319044176815</v>
      </c>
      <c r="H49" s="11">
        <f t="shared" si="12"/>
        <v>0.39418499600403073</v>
      </c>
    </row>
    <row r="50" spans="1:8" s="2" customFormat="1" ht="11.25">
      <c r="A50" s="5" t="s">
        <v>43</v>
      </c>
      <c r="C50" s="12"/>
      <c r="D50" s="12"/>
      <c r="E50" s="12"/>
      <c r="F50" s="12"/>
      <c r="G50" s="12"/>
      <c r="H50" s="12"/>
    </row>
    <row r="51" spans="1:8" s="2" customFormat="1" ht="11.25">
      <c r="A51" s="2" t="s">
        <v>44</v>
      </c>
      <c r="C51" s="12">
        <f aca="true" t="shared" si="13" ref="C51:H51">C10/C15</f>
        <v>0.500604224865815</v>
      </c>
      <c r="D51" s="12">
        <f t="shared" si="13"/>
        <v>0.36875242154203797</v>
      </c>
      <c r="E51" s="12">
        <f t="shared" si="13"/>
        <v>0.39195301335920396</v>
      </c>
      <c r="F51" s="12">
        <f t="shared" si="13"/>
        <v>0.4019340217867168</v>
      </c>
      <c r="G51" s="12">
        <f t="shared" si="13"/>
        <v>0.6600796954389915</v>
      </c>
      <c r="H51" s="12">
        <f t="shared" si="13"/>
        <v>0.2530472058671625</v>
      </c>
    </row>
    <row r="52" spans="1:8" s="2" customFormat="1" ht="11.25">
      <c r="A52" s="2" t="s">
        <v>45</v>
      </c>
      <c r="C52" s="12">
        <f aca="true" t="shared" si="14" ref="C52:H52">C10/C9</f>
        <v>0.3057776371793397</v>
      </c>
      <c r="D52" s="12">
        <f t="shared" si="14"/>
        <v>0.18027061901435962</v>
      </c>
      <c r="E52" s="12">
        <f t="shared" si="14"/>
        <v>0.1858838451351368</v>
      </c>
      <c r="F52" s="12">
        <f t="shared" si="14"/>
        <v>0.18762284292334602</v>
      </c>
      <c r="G52" s="12">
        <f t="shared" si="14"/>
        <v>0.30387757607168675</v>
      </c>
      <c r="H52" s="12">
        <f t="shared" si="14"/>
        <v>0.08512283262100838</v>
      </c>
    </row>
    <row r="53" spans="1:8" s="2" customFormat="1" ht="11.25">
      <c r="A53" s="3" t="s">
        <v>46</v>
      </c>
      <c r="B53" s="3"/>
      <c r="C53" s="13">
        <f aca="true" t="shared" si="15" ref="C53:H53">(C10+C14)/C15</f>
        <v>1.1880787218682318</v>
      </c>
      <c r="D53" s="13">
        <f t="shared" si="15"/>
        <v>1.3715371948857031</v>
      </c>
      <c r="E53" s="13">
        <f t="shared" si="15"/>
        <v>1.3826448339604336</v>
      </c>
      <c r="F53" s="13">
        <f t="shared" si="15"/>
        <v>1.3858386340810178</v>
      </c>
      <c r="G53" s="13">
        <f t="shared" si="15"/>
        <v>1.791977128297806</v>
      </c>
      <c r="H53" s="13">
        <f t="shared" si="15"/>
        <v>2.2702200185931205</v>
      </c>
    </row>
    <row r="54" s="2" customFormat="1" ht="11.25">
      <c r="A54" s="5" t="s">
        <v>47</v>
      </c>
    </row>
    <row r="55" spans="1:8" s="2" customFormat="1" ht="11.25">
      <c r="A55" s="2" t="s">
        <v>48</v>
      </c>
      <c r="C55" s="9">
        <f>C38/C26</f>
        <v>0.026377216470446288</v>
      </c>
      <c r="D55" s="9">
        <f>(D38/0.75)/D26</f>
        <v>0.030775966057015644</v>
      </c>
      <c r="E55" s="9">
        <f>(E38/0.5)/E26</f>
        <v>0.03881898496959498</v>
      </c>
      <c r="F55" s="9">
        <f>((F38)/0.25)/F26</f>
        <v>0.024456977474088735</v>
      </c>
      <c r="G55" s="9">
        <f>G38/G26</f>
        <v>0.02038743004735256</v>
      </c>
      <c r="H55" s="9">
        <f>H38/H26</f>
        <v>0.004920126787882611</v>
      </c>
    </row>
    <row r="56" spans="1:8" s="2" customFormat="1" ht="11.25">
      <c r="A56" s="2" t="s">
        <v>49</v>
      </c>
      <c r="C56" s="9">
        <f>C38/C25</f>
        <v>0.015999099276606525</v>
      </c>
      <c r="D56" s="9">
        <f>(D38/0.75)/D25</f>
        <v>0.02289912326298645</v>
      </c>
      <c r="E56" s="9">
        <f>(E38/0.5)/E25</f>
        <v>0.02922640022171752</v>
      </c>
      <c r="F56" s="9">
        <f>((F38)/0.25)/F25</f>
        <v>0.017742675584354186</v>
      </c>
      <c r="G56" s="9">
        <f>G38/G25</f>
        <v>0.013569993199721877</v>
      </c>
      <c r="H56" s="9">
        <f>H38/H25</f>
        <v>0.004102959741899285</v>
      </c>
    </row>
    <row r="57" spans="1:8" s="2" customFormat="1" ht="11.25">
      <c r="A57" s="2" t="s">
        <v>50</v>
      </c>
      <c r="C57" s="9">
        <f>C38/C29</f>
        <v>0.0661876870407676</v>
      </c>
      <c r="D57" s="9">
        <f>(D38/0.75)/D29</f>
        <v>0.07779975510972968</v>
      </c>
      <c r="E57" s="9">
        <f>(E38/0.5)/E29</f>
        <v>0.0966022651565623</v>
      </c>
      <c r="F57" s="9">
        <f>((F38)/0.25)/F29</f>
        <v>0.05496860629166532</v>
      </c>
      <c r="G57" s="9">
        <f>G38/G29</f>
        <v>0.03870883372202001</v>
      </c>
      <c r="H57" s="9">
        <f>H38/H29</f>
        <v>0.010366940977106338</v>
      </c>
    </row>
    <row r="58" spans="1:8" s="2" customFormat="1" ht="11.25">
      <c r="A58" s="2" t="s">
        <v>51</v>
      </c>
      <c r="C58" s="9">
        <f>C31/C25</f>
        <v>0.06628761223857911</v>
      </c>
      <c r="D58" s="9">
        <f>(D31/0.75)/D25</f>
        <v>0.07808619514618059</v>
      </c>
      <c r="E58" s="9">
        <f>(E31/0.5)/E25</f>
        <v>0.07732758403489891</v>
      </c>
      <c r="F58" s="9">
        <f>((F31)/0.25)/F25</f>
        <v>0.07010859741090424</v>
      </c>
      <c r="G58" s="9">
        <f>G31/G25</f>
        <v>0.05162862840682473</v>
      </c>
      <c r="H58" s="9">
        <f>H31/H25</f>
        <v>0.0583093701781456</v>
      </c>
    </row>
    <row r="59" spans="1:8" s="2" customFormat="1" ht="11.25">
      <c r="A59" s="2" t="s">
        <v>52</v>
      </c>
      <c r="C59" s="9">
        <f>C32/C25</f>
        <v>0.04384271117741436</v>
      </c>
      <c r="D59" s="9">
        <f>(D32/0.75)/D25</f>
        <v>0.05161081655519747</v>
      </c>
      <c r="E59" s="9">
        <f>(E32/0.5)/E25</f>
        <v>0.051498932804474665</v>
      </c>
      <c r="F59" s="9">
        <f>((F32)/0.25)/F25</f>
        <v>0.047749488994257266</v>
      </c>
      <c r="G59" s="9">
        <f>G32/G25</f>
        <v>0.03308449918625885</v>
      </c>
      <c r="H59" s="9">
        <f>H32/H25</f>
        <v>0.04285313508205919</v>
      </c>
    </row>
    <row r="60" spans="1:8" s="2" customFormat="1" ht="11.25">
      <c r="A60" s="2" t="s">
        <v>53</v>
      </c>
      <c r="C60" s="9">
        <f>C33/C25</f>
        <v>0.022444901061164747</v>
      </c>
      <c r="D60" s="9">
        <f>(D33)/0.75/D25</f>
        <v>0.026475378590983124</v>
      </c>
      <c r="E60" s="9">
        <f>(E33/0.5)/E25</f>
        <v>0.02582865123042425</v>
      </c>
      <c r="F60" s="9">
        <f>((F33)/0.25)/F25</f>
        <v>0.02235910841664697</v>
      </c>
      <c r="G60" s="9">
        <f>G33/G25</f>
        <v>0.018544129220565874</v>
      </c>
      <c r="H60" s="9">
        <f>H33/H25</f>
        <v>0.015456235096086408</v>
      </c>
    </row>
    <row r="61" spans="1:8" s="2" customFormat="1" ht="11.25">
      <c r="A61" s="2" t="s">
        <v>54</v>
      </c>
      <c r="C61" s="9">
        <f>C36/C35</f>
        <v>0.32697547683923706</v>
      </c>
      <c r="D61" s="9">
        <f>(D36/0.75)/(D35/0.75)</f>
        <v>0.14820717131474104</v>
      </c>
      <c r="E61" s="9">
        <f>(E36/0.5)/(E35/0.5)</f>
        <v>0.10182370820668693</v>
      </c>
      <c r="F61" s="9">
        <f>(F36/0.25)/(F35/0.25)</f>
        <v>0.2103960396039604</v>
      </c>
      <c r="G61" s="9">
        <f>G36/G35</f>
        <v>0.20347604917337855</v>
      </c>
      <c r="H61" s="9">
        <f>H36/H35</f>
        <v>0.48856664807585054</v>
      </c>
    </row>
    <row r="62" spans="1:8" s="2" customFormat="1" ht="11.25">
      <c r="A62" s="3" t="s">
        <v>55</v>
      </c>
      <c r="B62" s="3"/>
      <c r="C62" s="11">
        <f>C34/C25</f>
        <v>0.018875784614518536</v>
      </c>
      <c r="D62" s="11">
        <f>(D34/0.75)/D25</f>
        <v>0.019914290004735997</v>
      </c>
      <c r="E62" s="11">
        <f>(E34/0.5)/E25</f>
        <v>0.031011658166295336</v>
      </c>
      <c r="F62" s="11">
        <f>(F34/0.25)/F25</f>
        <v>0.00011123934535645258</v>
      </c>
      <c r="G62" s="11">
        <f>G34/G25</f>
        <v>0.01750498559716375</v>
      </c>
      <c r="H62" s="11">
        <f>H34/H25</f>
        <v>0.00026301023986533874</v>
      </c>
    </row>
    <row r="63" s="2" customFormat="1" ht="11.25">
      <c r="A63" s="5" t="s">
        <v>56</v>
      </c>
    </row>
    <row r="64" spans="1:8" s="2" customFormat="1" ht="11.25">
      <c r="A64" s="2" t="s">
        <v>57</v>
      </c>
      <c r="C64" s="7">
        <v>5</v>
      </c>
      <c r="D64" s="7">
        <v>5</v>
      </c>
      <c r="E64" s="7">
        <v>5</v>
      </c>
      <c r="F64" s="7">
        <v>5</v>
      </c>
      <c r="G64" s="7">
        <v>4</v>
      </c>
      <c r="H64" s="7">
        <v>4</v>
      </c>
    </row>
    <row r="65" spans="1:8" s="2" customFormat="1" ht="11.25">
      <c r="A65" s="2" t="s">
        <v>58</v>
      </c>
      <c r="C65" s="7">
        <v>1</v>
      </c>
      <c r="D65" s="7">
        <v>1</v>
      </c>
      <c r="E65" s="7">
        <v>1</v>
      </c>
      <c r="F65" s="7">
        <v>1</v>
      </c>
      <c r="G65" s="7">
        <v>1</v>
      </c>
      <c r="H65" s="7">
        <v>1</v>
      </c>
    </row>
    <row r="66" spans="1:8" s="2" customFormat="1" ht="11.25">
      <c r="A66" s="2" t="s">
        <v>59</v>
      </c>
      <c r="C66" s="7">
        <f aca="true" t="shared" si="16" ref="C66:H66">C11/C64</f>
        <v>9061.6</v>
      </c>
      <c r="D66" s="7">
        <f t="shared" si="16"/>
        <v>8678</v>
      </c>
      <c r="E66" s="7">
        <f t="shared" si="16"/>
        <v>8921.2</v>
      </c>
      <c r="F66" s="7">
        <f t="shared" si="16"/>
        <v>6881.8</v>
      </c>
      <c r="G66" s="7">
        <f t="shared" si="16"/>
        <v>1540.25</v>
      </c>
      <c r="H66" s="7">
        <f t="shared" si="16"/>
        <v>3385</v>
      </c>
    </row>
    <row r="67" spans="1:8" s="2" customFormat="1" ht="11.25">
      <c r="A67" s="2" t="s">
        <v>60</v>
      </c>
      <c r="C67" s="7">
        <f aca="true" t="shared" si="17" ref="C67:H67">C15/C64</f>
        <v>25487.2</v>
      </c>
      <c r="D67" s="7">
        <f t="shared" si="17"/>
        <v>16518.4</v>
      </c>
      <c r="E67" s="7">
        <f t="shared" si="17"/>
        <v>15255.4</v>
      </c>
      <c r="F67" s="7">
        <f t="shared" si="17"/>
        <v>15532.4</v>
      </c>
      <c r="G67" s="7">
        <f t="shared" si="17"/>
        <v>16876.75</v>
      </c>
      <c r="H67" s="7">
        <f t="shared" si="17"/>
        <v>9681</v>
      </c>
    </row>
    <row r="68" spans="1:8" s="2" customFormat="1" ht="11.25">
      <c r="A68" s="3" t="s">
        <v>61</v>
      </c>
      <c r="B68" s="3"/>
      <c r="C68" s="8">
        <f aca="true" t="shared" si="18" ref="C68:H68">(C38/C64)</f>
        <v>568.4</v>
      </c>
      <c r="D68" s="8">
        <f t="shared" si="18"/>
        <v>495.6</v>
      </c>
      <c r="E68" s="8">
        <f t="shared" si="18"/>
        <v>406</v>
      </c>
      <c r="F68" s="8">
        <f t="shared" si="18"/>
        <v>127.6</v>
      </c>
      <c r="G68" s="8">
        <f t="shared" si="18"/>
        <v>444</v>
      </c>
      <c r="H68" s="8">
        <f t="shared" si="18"/>
        <v>117</v>
      </c>
    </row>
    <row r="69" s="2" customFormat="1" ht="11.25">
      <c r="A69" s="5" t="s">
        <v>62</v>
      </c>
    </row>
    <row r="70" spans="1:8" s="2" customFormat="1" ht="11.25">
      <c r="A70" s="2" t="s">
        <v>63</v>
      </c>
      <c r="C70" s="9">
        <f>(C9/G9)-1</f>
        <v>0.4227689957582619</v>
      </c>
      <c r="D70" s="9">
        <f>(D9/119624)-1</f>
        <v>0.41230856684277395</v>
      </c>
      <c r="E70" s="9">
        <f>(E9/116994)-1</f>
        <v>0.37474571345539087</v>
      </c>
      <c r="F70" s="9">
        <f>(F9/121296)-1</f>
        <v>0.3716115947764147</v>
      </c>
      <c r="G70" s="9">
        <f>(G9/H9)-1</f>
        <v>0.27382813857326527</v>
      </c>
      <c r="H70" s="9">
        <f>(H9/113012)-1</f>
        <v>0.018617491947757747</v>
      </c>
    </row>
    <row r="71" spans="1:8" s="2" customFormat="1" ht="11.25">
      <c r="A71" s="2" t="s">
        <v>64</v>
      </c>
      <c r="C71" s="9">
        <f>(C11/G11)-1</f>
        <v>6.354000973867879</v>
      </c>
      <c r="D71" s="9">
        <f>D11/11232-1</f>
        <v>2.8630698005698005</v>
      </c>
      <c r="E71" s="9">
        <f>E11/11735-1</f>
        <v>2.8011077971878993</v>
      </c>
      <c r="F71" s="9">
        <f>F11/19759-1</f>
        <v>0.7414342831114935</v>
      </c>
      <c r="G71" s="9">
        <f>(G11/H11)-1</f>
        <v>-0.5449778434268833</v>
      </c>
      <c r="H71" s="9">
        <f>H11/18770-1</f>
        <v>-0.2786361214704315</v>
      </c>
    </row>
    <row r="72" spans="2:8" s="2" customFormat="1" ht="11.25">
      <c r="B72" s="2" t="s">
        <v>13</v>
      </c>
      <c r="C72" s="9">
        <v>0</v>
      </c>
      <c r="D72" s="9">
        <v>0</v>
      </c>
      <c r="E72" s="9">
        <f>(E12/504)-1</f>
        <v>-1</v>
      </c>
      <c r="F72" s="9">
        <f>(F12/527)-1</f>
        <v>-1</v>
      </c>
      <c r="G72" s="9">
        <f>(G12/H12)-1</f>
        <v>-1</v>
      </c>
      <c r="H72" s="9">
        <f>(H12/309)-1</f>
        <v>0.7055016181229774</v>
      </c>
    </row>
    <row r="73" spans="2:8" s="2" customFormat="1" ht="11.25">
      <c r="B73" s="2" t="s">
        <v>14</v>
      </c>
      <c r="C73" s="9">
        <f>(C13/G13)-1</f>
        <v>6.354000973867879</v>
      </c>
      <c r="D73" s="9">
        <f>(D13/11231)-1</f>
        <v>2.8634137654705727</v>
      </c>
      <c r="E73" s="9">
        <f>(E13/11232)-1</f>
        <v>2.971331908831909</v>
      </c>
      <c r="F73" s="9">
        <f>(F13/19232)-1</f>
        <v>0.7891534941763727</v>
      </c>
      <c r="G73" s="9">
        <f>(G13/H13)-1</f>
        <v>-0.5265503727042189</v>
      </c>
      <c r="H73" s="9">
        <f>(H13/18461)-1</f>
        <v>-0.2951086073343806</v>
      </c>
    </row>
    <row r="74" spans="1:8" s="2" customFormat="1" ht="11.25">
      <c r="A74" s="2" t="s">
        <v>65</v>
      </c>
      <c r="C74" s="9">
        <f>C15/G15-1</f>
        <v>0.887744974595227</v>
      </c>
      <c r="D74" s="9">
        <f>D15/46787-1</f>
        <v>0.765276679419497</v>
      </c>
      <c r="E74" s="9">
        <f>E15/42538-1</f>
        <v>0.7931496544266303</v>
      </c>
      <c r="F74" s="9">
        <f>F15/45036-1</f>
        <v>0.724442668087752</v>
      </c>
      <c r="G74" s="9">
        <f>(G15/H15)-1</f>
        <v>0.7432858175808283</v>
      </c>
      <c r="H74" s="9">
        <f>H15/30703-1</f>
        <v>0.261244829495489</v>
      </c>
    </row>
    <row r="75" spans="2:8" s="2" customFormat="1" ht="11.25">
      <c r="B75" s="2" t="s">
        <v>13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2:8" s="2" customFormat="1" ht="11.25">
      <c r="B76" s="2" t="s">
        <v>14</v>
      </c>
      <c r="C76" s="9">
        <f>C20/G20-1</f>
        <v>0.887744974595227</v>
      </c>
      <c r="D76" s="9">
        <f>(D20/46787)-1</f>
        <v>0.765276679419497</v>
      </c>
      <c r="E76" s="9">
        <f>(E20/42538)-1</f>
        <v>0.7931496544266303</v>
      </c>
      <c r="F76" s="9">
        <f>(F20/45036)-1</f>
        <v>0.724442668087752</v>
      </c>
      <c r="G76" s="9">
        <f>(G20/H20)-1</f>
        <v>0.7432858175808283</v>
      </c>
      <c r="H76" s="9">
        <f>(H20/30703)-1</f>
        <v>0.261244829495489</v>
      </c>
    </row>
    <row r="77" spans="1:8" s="2" customFormat="1" ht="11.25">
      <c r="A77" s="2" t="s">
        <v>66</v>
      </c>
      <c r="C77" s="9">
        <f>(C23/G23)-1</f>
        <v>-0.14860407459307967</v>
      </c>
      <c r="D77" s="9">
        <f>(D23/45809)-1</f>
        <v>-0.1458665327774018</v>
      </c>
      <c r="E77" s="9">
        <f>(E23/45377)-1</f>
        <v>-0.14760781893911012</v>
      </c>
      <c r="F77" s="9">
        <f>(F23/45827)-1</f>
        <v>0.02616361533593725</v>
      </c>
      <c r="G77" s="9">
        <f>(G23/H23)-1</f>
        <v>0.022213896908125363</v>
      </c>
      <c r="H77" s="9">
        <f>(H23/44910)-1</f>
        <v>0.010398574927632964</v>
      </c>
    </row>
    <row r="78" spans="1:8" s="2" customFormat="1" ht="11.25">
      <c r="A78" s="3" t="s">
        <v>67</v>
      </c>
      <c r="B78" s="3"/>
      <c r="C78" s="11">
        <f>(C38/G38)-1</f>
        <v>0.6002252252252251</v>
      </c>
      <c r="D78" s="11">
        <f>(D38/1202)-1</f>
        <v>1.0615640599001663</v>
      </c>
      <c r="E78" s="11">
        <f>(E38/774)-1</f>
        <v>1.6227390180878554</v>
      </c>
      <c r="F78" s="11">
        <f>(F38/449)-1</f>
        <v>0.42093541202672613</v>
      </c>
      <c r="G78" s="11">
        <f>(G38/H38)-1</f>
        <v>2.7948717948717947</v>
      </c>
      <c r="H78" s="11">
        <f>(H38/936)-1</f>
        <v>-0.5</v>
      </c>
    </row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  <row r="202" s="2" customFormat="1" ht="11.25"/>
    <row r="203" s="2" customFormat="1" ht="11.25"/>
    <row r="204" s="2" customFormat="1" ht="11.25"/>
    <row r="205" s="2" customFormat="1" ht="11.25"/>
    <row r="206" s="2" customFormat="1" ht="11.25"/>
    <row r="207" s="2" customFormat="1" ht="11.25"/>
    <row r="208" s="2" customFormat="1" ht="11.25"/>
    <row r="209" s="2" customFormat="1" ht="11.25"/>
    <row r="210" s="2" customFormat="1" ht="11.25"/>
    <row r="211" s="2" customFormat="1" ht="11.25"/>
    <row r="212" s="2" customFormat="1" ht="11.25"/>
    <row r="213" s="2" customFormat="1" ht="11.25"/>
    <row r="214" s="2" customFormat="1" ht="11.25"/>
    <row r="215" s="2" customFormat="1" ht="11.25"/>
    <row r="216" s="2" customFormat="1" ht="11.25"/>
    <row r="217" s="2" customFormat="1" ht="11.25"/>
    <row r="218" s="2" customFormat="1" ht="11.25"/>
    <row r="219" s="2" customFormat="1" ht="11.25"/>
    <row r="220" s="2" customFormat="1" ht="11.25"/>
    <row r="221" s="2" customFormat="1" ht="11.25"/>
    <row r="222" s="2" customFormat="1" ht="11.25"/>
    <row r="223" s="2" customFormat="1" ht="11.25"/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  <row r="238" s="2" customFormat="1" ht="11.25"/>
    <row r="239" s="2" customFormat="1" ht="11.25"/>
    <row r="240" s="2" customFormat="1" ht="11.25"/>
    <row r="241" s="2" customFormat="1" ht="11.25"/>
    <row r="242" s="2" customFormat="1" ht="11.25"/>
    <row r="243" s="2" customFormat="1" ht="11.25"/>
    <row r="244" s="2" customFormat="1" ht="11.25"/>
    <row r="245" s="2" customFormat="1" ht="11.25"/>
    <row r="246" s="2" customFormat="1" ht="11.25"/>
    <row r="247" s="2" customFormat="1" ht="11.25"/>
    <row r="248" s="2" customFormat="1" ht="11.25"/>
    <row r="249" s="2" customFormat="1" ht="11.25"/>
    <row r="250" s="2" customFormat="1" ht="11.25"/>
    <row r="251" s="2" customFormat="1" ht="11.25"/>
    <row r="252" s="2" customFormat="1" ht="11.25"/>
  </sheetData>
  <sheetProtection password="CD66" sheet="1" objects="1" scenarios="1"/>
  <printOptions horizontalCentered="1"/>
  <pageMargins left="0.75" right="0.75" top="0.5905511811023623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2002-04-24T21:22:52Z</cp:lastPrinted>
  <dcterms:created xsi:type="dcterms:W3CDTF">2002-03-08T14:13:27Z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