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ladex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Superintendencia de Bancos</author>
  </authors>
  <commentList>
    <comment ref="E18" authorId="0">
      <text>
        <r>
          <rPr>
            <b/>
            <sz val="8"/>
            <rFont val="Tahoma"/>
            <family val="0"/>
          </rPr>
          <t>Superintendencia de Bancos:</t>
        </r>
        <r>
          <rPr>
            <sz val="8"/>
            <rFont val="Tahoma"/>
            <family val="0"/>
          </rPr>
          <t xml:space="preserve">
Incluye los certificados de depósitos</t>
        </r>
      </text>
    </comment>
  </commentList>
</comments>
</file>

<file path=xl/sharedStrings.xml><?xml version="1.0" encoding="utf-8"?>
<sst xmlns="http://schemas.openxmlformats.org/spreadsheetml/2006/main" count="80" uniqueCount="68">
  <si>
    <t>CUADRO No. 18-34     BANCO LATINOAMERICANO DE EXPORTACIONES (BLADEX)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</si>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</sst>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6">
    <font>
      <sz val="10"/>
      <name val="Arial"/>
      <family val="0"/>
    </font>
    <font>
      <sz val="7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179" fontId="5" fillId="0" borderId="1" xfId="15" applyNumberFormat="1" applyFont="1" applyBorder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Border="1" applyAlignment="1">
      <alignment/>
    </xf>
    <xf numFmtId="10" fontId="5" fillId="0" borderId="1" xfId="19" applyNumberFormat="1" applyFont="1" applyBorder="1" applyAlignment="1">
      <alignment/>
    </xf>
    <xf numFmtId="181" fontId="5" fillId="0" borderId="0" xfId="19" applyNumberFormat="1" applyFont="1" applyAlignment="1">
      <alignment/>
    </xf>
    <xf numFmtId="181" fontId="5" fillId="0" borderId="1" xfId="19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11.421875" defaultRowHeight="12.75"/>
  <cols>
    <col min="1" max="1" width="1.421875" style="1" customWidth="1"/>
    <col min="2" max="2" width="36.28125" style="1" customWidth="1"/>
    <col min="3" max="3" width="12.00390625" style="1" customWidth="1"/>
    <col min="4" max="5" width="8.8515625" style="1" customWidth="1"/>
    <col min="6" max="6" width="9.421875" style="1" customWidth="1"/>
    <col min="7" max="16384" width="11.421875" style="1" customWidth="1"/>
  </cols>
  <sheetData>
    <row r="1" spans="2:8" s="3" customFormat="1" ht="11.25">
      <c r="B1" s="2"/>
      <c r="C1" s="2"/>
      <c r="D1" s="2"/>
      <c r="E1" s="2"/>
      <c r="F1" s="2"/>
      <c r="G1" s="2"/>
      <c r="H1" s="2"/>
    </row>
    <row r="2" spans="2:8" s="3" customFormat="1" ht="12.75" customHeight="1">
      <c r="B2" s="2"/>
      <c r="C2" s="17" t="s">
        <v>0</v>
      </c>
      <c r="D2" s="17"/>
      <c r="E2" s="17"/>
      <c r="F2" s="17"/>
      <c r="G2" s="17"/>
      <c r="H2" s="17"/>
    </row>
    <row r="3" spans="2:8" s="3" customFormat="1" ht="11.25">
      <c r="B3" s="15"/>
      <c r="C3" s="15"/>
      <c r="D3" s="15"/>
      <c r="E3" s="15"/>
      <c r="F3" s="2" t="s">
        <v>1</v>
      </c>
      <c r="G3" s="15"/>
      <c r="H3" s="15"/>
    </row>
    <row r="4" spans="1:8" s="3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3" customFormat="1" ht="11.25">
      <c r="A5" s="15"/>
      <c r="B5" s="15"/>
      <c r="C5" s="15"/>
      <c r="D5" s="15"/>
      <c r="E5" s="15"/>
      <c r="F5" s="15"/>
      <c r="G5" s="15"/>
      <c r="H5" s="15"/>
    </row>
    <row r="6" spans="1:8" s="3" customFormat="1" ht="11.25">
      <c r="A6" s="16"/>
      <c r="B6" s="16"/>
      <c r="C6" s="16"/>
      <c r="D6" s="16"/>
      <c r="E6" s="16"/>
      <c r="F6" s="16"/>
      <c r="G6" s="16"/>
      <c r="H6" s="16"/>
    </row>
    <row r="7" spans="1:8" s="3" customFormat="1" ht="11.25">
      <c r="A7" s="5"/>
      <c r="B7" s="5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</row>
    <row r="8" spans="1:8" s="3" customFormat="1" ht="11.25">
      <c r="A8" s="6" t="s">
        <v>9</v>
      </c>
      <c r="B8" s="6"/>
      <c r="C8" s="7"/>
      <c r="D8" s="7"/>
      <c r="E8" s="7"/>
      <c r="F8" s="7"/>
      <c r="G8" s="7"/>
      <c r="H8" s="7"/>
    </row>
    <row r="9" spans="1:8" s="3" customFormat="1" ht="11.25">
      <c r="A9" s="3" t="s">
        <v>10</v>
      </c>
      <c r="C9" s="8">
        <v>5354799</v>
      </c>
      <c r="D9" s="8">
        <v>5234557</v>
      </c>
      <c r="E9" s="8">
        <v>4665085</v>
      </c>
      <c r="F9" s="8">
        <v>4561110</v>
      </c>
      <c r="G9" s="8">
        <v>4956888</v>
      </c>
      <c r="H9" s="8">
        <v>4979769</v>
      </c>
    </row>
    <row r="10" spans="1:8" s="3" customFormat="1" ht="11.25">
      <c r="A10" s="3" t="s">
        <v>11</v>
      </c>
      <c r="C10" s="8">
        <v>297024</v>
      </c>
      <c r="D10" s="8">
        <v>237731</v>
      </c>
      <c r="E10" s="8">
        <v>231840</v>
      </c>
      <c r="F10" s="8">
        <v>312992</v>
      </c>
      <c r="G10" s="8">
        <v>380981</v>
      </c>
      <c r="H10" s="8">
        <v>286251</v>
      </c>
    </row>
    <row r="11" spans="1:8" s="3" customFormat="1" ht="11.25">
      <c r="A11" s="3" t="s">
        <v>12</v>
      </c>
      <c r="C11" s="8">
        <f aca="true" t="shared" si="0" ref="C11:H11">C12+C13</f>
        <v>4491717</v>
      </c>
      <c r="D11" s="8">
        <f t="shared" si="0"/>
        <v>4538325</v>
      </c>
      <c r="E11" s="8">
        <f t="shared" si="0"/>
        <v>4070039</v>
      </c>
      <c r="F11" s="8">
        <f t="shared" si="0"/>
        <v>3874901</v>
      </c>
      <c r="G11" s="8">
        <f t="shared" si="0"/>
        <v>4225913</v>
      </c>
      <c r="H11" s="8">
        <f t="shared" si="0"/>
        <v>4409256</v>
      </c>
    </row>
    <row r="12" spans="2:8" s="3" customFormat="1" ht="11.25">
      <c r="B12" s="3" t="s">
        <v>13</v>
      </c>
      <c r="C12" s="8">
        <v>399647</v>
      </c>
      <c r="D12" s="8">
        <v>455632</v>
      </c>
      <c r="E12" s="8">
        <v>422650</v>
      </c>
      <c r="F12" s="8">
        <v>406652</v>
      </c>
      <c r="G12" s="8">
        <v>512374</v>
      </c>
      <c r="H12" s="8">
        <v>303306</v>
      </c>
    </row>
    <row r="13" spans="2:8" s="3" customFormat="1" ht="11.25">
      <c r="B13" s="3" t="s">
        <v>14</v>
      </c>
      <c r="C13" s="8">
        <v>4092070</v>
      </c>
      <c r="D13" s="8">
        <v>4082693</v>
      </c>
      <c r="E13" s="8">
        <v>3647389</v>
      </c>
      <c r="F13" s="8">
        <v>3468249</v>
      </c>
      <c r="G13" s="8">
        <v>3713539</v>
      </c>
      <c r="H13" s="8">
        <v>4105950</v>
      </c>
    </row>
    <row r="14" spans="1:8" s="3" customFormat="1" ht="11.25">
      <c r="A14" s="3" t="s">
        <v>15</v>
      </c>
      <c r="C14" s="8">
        <v>425314</v>
      </c>
      <c r="D14" s="8">
        <v>299824</v>
      </c>
      <c r="E14" s="8">
        <v>253121</v>
      </c>
      <c r="F14" s="8">
        <v>225748</v>
      </c>
      <c r="G14" s="8">
        <v>208406</v>
      </c>
      <c r="H14" s="8">
        <v>192552</v>
      </c>
    </row>
    <row r="15" spans="1:8" s="3" customFormat="1" ht="11.25">
      <c r="A15" s="3" t="s">
        <v>16</v>
      </c>
      <c r="C15" s="8">
        <f aca="true" t="shared" si="1" ref="C15:H15">C16+C20</f>
        <v>1435182</v>
      </c>
      <c r="D15" s="8">
        <f t="shared" si="1"/>
        <v>1553178</v>
      </c>
      <c r="E15" s="8">
        <f t="shared" si="1"/>
        <v>1503445</v>
      </c>
      <c r="F15" s="8">
        <f t="shared" si="1"/>
        <v>1361305</v>
      </c>
      <c r="G15" s="8">
        <f t="shared" si="1"/>
        <v>1360363</v>
      </c>
      <c r="H15" s="8">
        <f t="shared" si="1"/>
        <v>1048523</v>
      </c>
    </row>
    <row r="16" spans="2:8" s="3" customFormat="1" ht="11.25">
      <c r="B16" s="3" t="s">
        <v>13</v>
      </c>
      <c r="C16" s="8">
        <f aca="true" t="shared" si="2" ref="C16:H16">SUM(C17:C19)</f>
        <v>364680</v>
      </c>
      <c r="D16" s="8">
        <f t="shared" si="2"/>
        <v>329465</v>
      </c>
      <c r="E16" s="8">
        <f t="shared" si="2"/>
        <v>392280</v>
      </c>
      <c r="F16" s="8">
        <f t="shared" si="2"/>
        <v>295308</v>
      </c>
      <c r="G16" s="8">
        <f t="shared" si="2"/>
        <v>267411</v>
      </c>
      <c r="H16" s="8">
        <f t="shared" si="2"/>
        <v>229784</v>
      </c>
    </row>
    <row r="17" spans="2:8" s="3" customFormat="1" ht="11.25">
      <c r="B17" s="3" t="s">
        <v>17</v>
      </c>
      <c r="C17" s="8">
        <v>1328</v>
      </c>
      <c r="D17" s="8">
        <v>0</v>
      </c>
      <c r="E17" s="8">
        <v>0</v>
      </c>
      <c r="F17" s="8">
        <v>0</v>
      </c>
      <c r="G17" s="8">
        <v>0</v>
      </c>
      <c r="H17" s="8">
        <v>14</v>
      </c>
    </row>
    <row r="18" spans="2:8" s="3" customFormat="1" ht="11.25">
      <c r="B18" s="3" t="s">
        <v>18</v>
      </c>
      <c r="C18" s="8">
        <v>44422</v>
      </c>
      <c r="D18" s="8">
        <v>9477</v>
      </c>
      <c r="E18" s="8">
        <f>1389+31600</f>
        <v>32989</v>
      </c>
      <c r="F18" s="8">
        <v>101</v>
      </c>
      <c r="G18" s="8">
        <v>858</v>
      </c>
      <c r="H18" s="8">
        <v>917</v>
      </c>
    </row>
    <row r="19" spans="2:8" s="3" customFormat="1" ht="11.25">
      <c r="B19" s="3" t="s">
        <v>19</v>
      </c>
      <c r="C19" s="8">
        <v>318930</v>
      </c>
      <c r="D19" s="8">
        <v>319988</v>
      </c>
      <c r="E19" s="8">
        <v>359291</v>
      </c>
      <c r="F19" s="8">
        <v>295207</v>
      </c>
      <c r="G19" s="8">
        <v>266553</v>
      </c>
      <c r="H19" s="8">
        <v>228853</v>
      </c>
    </row>
    <row r="20" spans="2:8" s="3" customFormat="1" ht="11.25">
      <c r="B20" s="3" t="s">
        <v>14</v>
      </c>
      <c r="C20" s="8">
        <f aca="true" t="shared" si="3" ref="C20:H20">SUM(C21:C22)</f>
        <v>1070502</v>
      </c>
      <c r="D20" s="8">
        <f t="shared" si="3"/>
        <v>1223713</v>
      </c>
      <c r="E20" s="8">
        <f t="shared" si="3"/>
        <v>1111165</v>
      </c>
      <c r="F20" s="8">
        <f t="shared" si="3"/>
        <v>1065997</v>
      </c>
      <c r="G20" s="8">
        <f t="shared" si="3"/>
        <v>1092952</v>
      </c>
      <c r="H20" s="8">
        <f t="shared" si="3"/>
        <v>818739</v>
      </c>
    </row>
    <row r="21" spans="2:8" s="3" customFormat="1" ht="11.25">
      <c r="B21" s="3" t="s">
        <v>18</v>
      </c>
      <c r="C21" s="8">
        <v>15</v>
      </c>
      <c r="D21" s="8">
        <v>12177</v>
      </c>
      <c r="E21" s="8">
        <v>16042</v>
      </c>
      <c r="F21" s="8">
        <v>11156</v>
      </c>
      <c r="G21" s="8">
        <v>11703</v>
      </c>
      <c r="H21" s="8">
        <v>43513</v>
      </c>
    </row>
    <row r="22" spans="2:8" s="3" customFormat="1" ht="11.25">
      <c r="B22" s="3" t="s">
        <v>19</v>
      </c>
      <c r="C22" s="8">
        <v>1070487</v>
      </c>
      <c r="D22" s="8">
        <v>1211536</v>
      </c>
      <c r="E22" s="8">
        <v>1095123</v>
      </c>
      <c r="F22" s="8">
        <v>1054841</v>
      </c>
      <c r="G22" s="8">
        <v>1081249</v>
      </c>
      <c r="H22" s="8">
        <v>775226</v>
      </c>
    </row>
    <row r="23" spans="1:8" s="3" customFormat="1" ht="11.25">
      <c r="A23" s="4" t="s">
        <v>20</v>
      </c>
      <c r="B23" s="4"/>
      <c r="C23" s="9">
        <v>608867</v>
      </c>
      <c r="D23" s="9">
        <v>601842</v>
      </c>
      <c r="E23" s="9">
        <v>589612</v>
      </c>
      <c r="F23" s="9">
        <v>596373</v>
      </c>
      <c r="G23" s="9">
        <v>604424</v>
      </c>
      <c r="H23" s="9">
        <v>545127</v>
      </c>
    </row>
    <row r="24" spans="1:8" s="3" customFormat="1" ht="11.25">
      <c r="A24" s="6" t="s">
        <v>21</v>
      </c>
      <c r="C24" s="8"/>
      <c r="D24" s="8"/>
      <c r="E24" s="8"/>
      <c r="F24" s="8"/>
      <c r="G24" s="8"/>
      <c r="H24" s="8"/>
    </row>
    <row r="25" spans="1:8" s="3" customFormat="1" ht="11.25">
      <c r="A25" s="3" t="s">
        <v>10</v>
      </c>
      <c r="C25" s="8">
        <f>(C9+G9)/2</f>
        <v>5155843.5</v>
      </c>
      <c r="D25" s="8">
        <f>(D9+4783790)/2</f>
        <v>5009173.5</v>
      </c>
      <c r="E25" s="8">
        <f>(E9+5112685)/2</f>
        <v>4888885</v>
      </c>
      <c r="F25" s="8">
        <f>(F9+4977404)/2</f>
        <v>4769257</v>
      </c>
      <c r="G25" s="8">
        <f>(G9+H9)/2</f>
        <v>4968328.5</v>
      </c>
      <c r="H25" s="8">
        <f>(H9+4873537)/2</f>
        <v>4926653</v>
      </c>
    </row>
    <row r="26" spans="1:8" s="3" customFormat="1" ht="11.25">
      <c r="A26" s="3" t="s">
        <v>22</v>
      </c>
      <c r="C26" s="8">
        <f aca="true" t="shared" si="4" ref="C26:H26">C27+C28</f>
        <v>4675675</v>
      </c>
      <c r="D26" s="8">
        <f t="shared" si="4"/>
        <v>4604913</v>
      </c>
      <c r="E26" s="8">
        <f t="shared" si="4"/>
        <v>4524091</v>
      </c>
      <c r="F26" s="8">
        <f t="shared" si="4"/>
        <v>4354111</v>
      </c>
      <c r="G26" s="8">
        <f t="shared" si="4"/>
        <v>4518063.5</v>
      </c>
      <c r="H26" s="8">
        <f t="shared" si="4"/>
        <v>4534877</v>
      </c>
    </row>
    <row r="27" spans="2:8" s="3" customFormat="1" ht="11.25">
      <c r="B27" s="3" t="s">
        <v>12</v>
      </c>
      <c r="C27" s="8">
        <f>(C11+G11)/2</f>
        <v>4358815</v>
      </c>
      <c r="D27" s="8">
        <f>(D11+4170214)/2</f>
        <v>4354269.5</v>
      </c>
      <c r="E27" s="8">
        <f>(E11+4570402)/2</f>
        <v>4320220.5</v>
      </c>
      <c r="F27" s="8">
        <f>(F11+4431975)/2</f>
        <v>4153438</v>
      </c>
      <c r="G27" s="8">
        <f>(G11+H11)/2</f>
        <v>4317584.5</v>
      </c>
      <c r="H27" s="8">
        <f>(H11+4239130)/2</f>
        <v>4324193</v>
      </c>
    </row>
    <row r="28" spans="2:8" s="3" customFormat="1" ht="11.25">
      <c r="B28" s="3" t="s">
        <v>15</v>
      </c>
      <c r="C28" s="8">
        <f>(C14+G14)/2</f>
        <v>316860</v>
      </c>
      <c r="D28" s="8">
        <f>(D14+201463)/2</f>
        <v>250643.5</v>
      </c>
      <c r="E28" s="8">
        <f>(E14+154620)/2</f>
        <v>203870.5</v>
      </c>
      <c r="F28" s="8">
        <f>(F14+175598)/2</f>
        <v>200673</v>
      </c>
      <c r="G28" s="8">
        <f>(G14+H14)/2</f>
        <v>200479</v>
      </c>
      <c r="H28" s="8">
        <f>(H14+228816)/2</f>
        <v>210684</v>
      </c>
    </row>
    <row r="29" spans="1:8" s="3" customFormat="1" ht="11.25">
      <c r="A29" s="4" t="s">
        <v>20</v>
      </c>
      <c r="B29" s="4"/>
      <c r="C29" s="9">
        <f>(C23+G23)/2</f>
        <v>606645.5</v>
      </c>
      <c r="D29" s="9">
        <f>(D23+586204)/2</f>
        <v>594023</v>
      </c>
      <c r="E29" s="9">
        <f>(E23+562696)/2</f>
        <v>576154</v>
      </c>
      <c r="F29" s="9">
        <f>(F23+542664)/2</f>
        <v>569518.5</v>
      </c>
      <c r="G29" s="9">
        <f>(G23+H23)/2</f>
        <v>574775.5</v>
      </c>
      <c r="H29" s="9">
        <f>(H23+511468)/2</f>
        <v>528297.5</v>
      </c>
    </row>
    <row r="30" s="3" customFormat="1" ht="11.25">
      <c r="A30" s="6" t="s">
        <v>23</v>
      </c>
    </row>
    <row r="31" spans="1:8" s="3" customFormat="1" ht="11.25">
      <c r="A31" s="3" t="s">
        <v>24</v>
      </c>
      <c r="C31" s="8">
        <f>99415+D31</f>
        <v>370119</v>
      </c>
      <c r="D31" s="8">
        <f>96794+E31</f>
        <v>270704</v>
      </c>
      <c r="E31" s="8">
        <f>86762+F31</f>
        <v>173910</v>
      </c>
      <c r="F31" s="8">
        <v>87148</v>
      </c>
      <c r="G31" s="8">
        <v>336769</v>
      </c>
      <c r="H31" s="8">
        <v>372969</v>
      </c>
    </row>
    <row r="32" spans="1:8" s="3" customFormat="1" ht="11.25">
      <c r="A32" s="3" t="s">
        <v>25</v>
      </c>
      <c r="C32" s="8">
        <f>74792+D32</f>
        <v>272042</v>
      </c>
      <c r="D32" s="8">
        <f>71293+E32</f>
        <v>197250</v>
      </c>
      <c r="E32" s="8">
        <f>63352+F32</f>
        <v>125957</v>
      </c>
      <c r="F32" s="8">
        <v>62605</v>
      </c>
      <c r="G32" s="8">
        <v>239448</v>
      </c>
      <c r="H32" s="8">
        <v>282342</v>
      </c>
    </row>
    <row r="33" spans="1:8" s="3" customFormat="1" ht="11.25">
      <c r="A33" s="3" t="s">
        <v>26</v>
      </c>
      <c r="C33" s="8">
        <f aca="true" t="shared" si="5" ref="C33:H33">C31-C32</f>
        <v>98077</v>
      </c>
      <c r="D33" s="8">
        <f t="shared" si="5"/>
        <v>73454</v>
      </c>
      <c r="E33" s="8">
        <f t="shared" si="5"/>
        <v>47953</v>
      </c>
      <c r="F33" s="8">
        <f t="shared" si="5"/>
        <v>24543</v>
      </c>
      <c r="G33" s="8">
        <f t="shared" si="5"/>
        <v>97321</v>
      </c>
      <c r="H33" s="8">
        <f t="shared" si="5"/>
        <v>90627</v>
      </c>
    </row>
    <row r="34" spans="1:8" s="3" customFormat="1" ht="11.25">
      <c r="A34" s="3" t="s">
        <v>27</v>
      </c>
      <c r="C34" s="8">
        <f>5630+D34</f>
        <v>25976</v>
      </c>
      <c r="D34" s="8">
        <f>6325+E34</f>
        <v>20346</v>
      </c>
      <c r="E34" s="8">
        <f>6491+F34</f>
        <v>14021</v>
      </c>
      <c r="F34" s="8">
        <v>7530</v>
      </c>
      <c r="G34" s="8">
        <v>26677</v>
      </c>
      <c r="H34" s="8">
        <v>21957</v>
      </c>
    </row>
    <row r="35" spans="1:8" s="3" customFormat="1" ht="11.25">
      <c r="A35" s="3" t="s">
        <v>28</v>
      </c>
      <c r="C35" s="8">
        <f aca="true" t="shared" si="6" ref="C35:H35">C33+C34</f>
        <v>124053</v>
      </c>
      <c r="D35" s="8">
        <f t="shared" si="6"/>
        <v>93800</v>
      </c>
      <c r="E35" s="8">
        <f t="shared" si="6"/>
        <v>61974</v>
      </c>
      <c r="F35" s="8">
        <f t="shared" si="6"/>
        <v>32073</v>
      </c>
      <c r="G35" s="8">
        <f t="shared" si="6"/>
        <v>123998</v>
      </c>
      <c r="H35" s="8">
        <f t="shared" si="6"/>
        <v>112584</v>
      </c>
    </row>
    <row r="36" spans="1:8" s="3" customFormat="1" ht="11.25">
      <c r="A36" s="3" t="s">
        <v>29</v>
      </c>
      <c r="C36" s="8">
        <f>6117+D36</f>
        <v>21056</v>
      </c>
      <c r="D36" s="8">
        <f>5157+E36</f>
        <v>14939</v>
      </c>
      <c r="E36" s="8">
        <f>4937+F36</f>
        <v>9782</v>
      </c>
      <c r="F36" s="8">
        <v>4845</v>
      </c>
      <c r="G36" s="8">
        <v>16527</v>
      </c>
      <c r="H36" s="8">
        <v>14067</v>
      </c>
    </row>
    <row r="37" spans="1:8" s="3" customFormat="1" ht="11.25">
      <c r="A37" s="3" t="s">
        <v>30</v>
      </c>
      <c r="C37" s="8">
        <f aca="true" t="shared" si="7" ref="C37:H37">C35-C36</f>
        <v>102997</v>
      </c>
      <c r="D37" s="8">
        <f t="shared" si="7"/>
        <v>78861</v>
      </c>
      <c r="E37" s="8">
        <f t="shared" si="7"/>
        <v>52192</v>
      </c>
      <c r="F37" s="8">
        <f t="shared" si="7"/>
        <v>27228</v>
      </c>
      <c r="G37" s="8">
        <f t="shared" si="7"/>
        <v>107471</v>
      </c>
      <c r="H37" s="8">
        <f t="shared" si="7"/>
        <v>98517</v>
      </c>
    </row>
    <row r="38" spans="1:8" s="3" customFormat="1" ht="11.25">
      <c r="A38" s="4" t="s">
        <v>31</v>
      </c>
      <c r="B38" s="4"/>
      <c r="C38" s="9">
        <f>19336+D38</f>
        <v>83797</v>
      </c>
      <c r="D38" s="9">
        <f>21869+E38</f>
        <v>64461</v>
      </c>
      <c r="E38" s="9">
        <f>21764+F38</f>
        <v>42592</v>
      </c>
      <c r="F38" s="9">
        <v>20828</v>
      </c>
      <c r="G38" s="9">
        <v>86771</v>
      </c>
      <c r="H38" s="9">
        <v>71783</v>
      </c>
    </row>
    <row r="39" spans="1:8" s="3" customFormat="1" ht="11.25">
      <c r="A39" s="6" t="s">
        <v>32</v>
      </c>
      <c r="C39" s="8"/>
      <c r="D39" s="8"/>
      <c r="E39" s="8"/>
      <c r="F39" s="8"/>
      <c r="G39" s="8"/>
      <c r="H39" s="8"/>
    </row>
    <row r="40" spans="1:8" s="3" customFormat="1" ht="11.25">
      <c r="A40" s="3" t="s">
        <v>33</v>
      </c>
      <c r="C40" s="8">
        <v>2727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s="3" customFormat="1" ht="11.25">
      <c r="A41" s="3" t="s">
        <v>34</v>
      </c>
      <c r="C41" s="8">
        <v>13915</v>
      </c>
      <c r="D41" s="8">
        <v>29727</v>
      </c>
      <c r="E41" s="8">
        <v>30456</v>
      </c>
      <c r="F41" s="8">
        <v>28077</v>
      </c>
      <c r="G41" s="8">
        <v>23786</v>
      </c>
      <c r="H41" s="8">
        <v>6493</v>
      </c>
    </row>
    <row r="42" spans="1:8" s="3" customFormat="1" ht="11.25">
      <c r="A42" s="3" t="s">
        <v>35</v>
      </c>
      <c r="C42" s="10">
        <f aca="true" t="shared" si="8" ref="C42:H42">C40/C11</f>
        <v>0.0006071175009467426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s="3" customFormat="1" ht="11.25">
      <c r="A43" s="3" t="s">
        <v>36</v>
      </c>
      <c r="C43" s="10">
        <f aca="true" t="shared" si="9" ref="C43:H43">(C41)/C11</f>
        <v>0.0030979244685272913</v>
      </c>
      <c r="D43" s="10">
        <f t="shared" si="9"/>
        <v>0.0065502140106757445</v>
      </c>
      <c r="E43" s="10">
        <f t="shared" si="9"/>
        <v>0.007482974978863839</v>
      </c>
      <c r="F43" s="10">
        <f t="shared" si="9"/>
        <v>0.007245862539455847</v>
      </c>
      <c r="G43" s="10">
        <f t="shared" si="9"/>
        <v>0.005628606173387857</v>
      </c>
      <c r="H43" s="10">
        <f t="shared" si="9"/>
        <v>0.001472584036853383</v>
      </c>
    </row>
    <row r="44" spans="1:8" s="3" customFormat="1" ht="11.25">
      <c r="A44" s="11" t="s">
        <v>37</v>
      </c>
      <c r="C44" s="10">
        <f aca="true" t="shared" si="10" ref="C44:H44">(C40+C41)/C11</f>
        <v>0.003705041969474034</v>
      </c>
      <c r="D44" s="10">
        <f t="shared" si="10"/>
        <v>0.0065502140106757445</v>
      </c>
      <c r="E44" s="10">
        <f t="shared" si="10"/>
        <v>0.007482974978863839</v>
      </c>
      <c r="F44" s="10">
        <f t="shared" si="10"/>
        <v>0.007245862539455847</v>
      </c>
      <c r="G44" s="10">
        <f t="shared" si="10"/>
        <v>0.005628606173387857</v>
      </c>
      <c r="H44" s="10">
        <f t="shared" si="10"/>
        <v>0.001472584036853383</v>
      </c>
    </row>
    <row r="45" spans="1:8" s="3" customFormat="1" ht="11.25">
      <c r="A45" s="3" t="s">
        <v>38</v>
      </c>
      <c r="C45" s="10">
        <v>0.0246</v>
      </c>
      <c r="D45" s="10">
        <v>0.0267</v>
      </c>
      <c r="E45" s="10">
        <v>0.0289</v>
      </c>
      <c r="F45" s="10">
        <v>0.0304</v>
      </c>
      <c r="G45" s="10">
        <v>0.0271</v>
      </c>
      <c r="H45" s="10">
        <f>(104553/H11)</f>
        <v>0.0237121636847577</v>
      </c>
    </row>
    <row r="46" spans="1:8" s="3" customFormat="1" ht="11.25">
      <c r="A46" s="4" t="s">
        <v>39</v>
      </c>
      <c r="B46" s="4"/>
      <c r="C46" s="12">
        <v>6.6331</v>
      </c>
      <c r="D46" s="12">
        <v>4.0705</v>
      </c>
      <c r="E46" s="12">
        <v>3.8636</v>
      </c>
      <c r="F46" s="12">
        <v>4.191</v>
      </c>
      <c r="G46" s="12">
        <v>4.8187</v>
      </c>
      <c r="H46" s="12">
        <f>104553/(H40+H41)</f>
        <v>16.10241798860311</v>
      </c>
    </row>
    <row r="47" s="3" customFormat="1" ht="11.25">
      <c r="A47" s="6" t="s">
        <v>40</v>
      </c>
    </row>
    <row r="48" spans="1:8" s="3" customFormat="1" ht="11.25">
      <c r="A48" s="3" t="s">
        <v>41</v>
      </c>
      <c r="C48" s="10">
        <f aca="true" t="shared" si="11" ref="C48:H48">C23/(C11+C14)</f>
        <v>0.1238281800541831</v>
      </c>
      <c r="D48" s="10">
        <f t="shared" si="11"/>
        <v>0.12439509407420068</v>
      </c>
      <c r="E48" s="10">
        <f t="shared" si="11"/>
        <v>0.13638449652568954</v>
      </c>
      <c r="F48" s="10">
        <f t="shared" si="11"/>
        <v>0.14543380816061066</v>
      </c>
      <c r="G48" s="10">
        <f t="shared" si="11"/>
        <v>0.13630593559010978</v>
      </c>
      <c r="H48" s="10">
        <f t="shared" si="11"/>
        <v>0.11845930990601955</v>
      </c>
    </row>
    <row r="49" spans="1:8" s="3" customFormat="1" ht="11.25">
      <c r="A49" s="4" t="s">
        <v>42</v>
      </c>
      <c r="B49" s="4"/>
      <c r="C49" s="12">
        <f aca="true" t="shared" si="12" ref="C49:H49">C23/C9</f>
        <v>0.11370492151059265</v>
      </c>
      <c r="D49" s="12">
        <f t="shared" si="12"/>
        <v>0.11497477245925491</v>
      </c>
      <c r="E49" s="12">
        <f t="shared" si="12"/>
        <v>0.1263882651655865</v>
      </c>
      <c r="F49" s="12">
        <f t="shared" si="12"/>
        <v>0.1307517249090682</v>
      </c>
      <c r="G49" s="12">
        <f t="shared" si="12"/>
        <v>0.1219361825403358</v>
      </c>
      <c r="H49" s="12">
        <f t="shared" si="12"/>
        <v>0.1094683307599208</v>
      </c>
    </row>
    <row r="50" spans="1:8" s="3" customFormat="1" ht="11.25">
      <c r="A50" s="6" t="s">
        <v>43</v>
      </c>
      <c r="C50" s="13"/>
      <c r="D50" s="13"/>
      <c r="E50" s="13"/>
      <c r="F50" s="13"/>
      <c r="G50" s="13"/>
      <c r="H50" s="13"/>
    </row>
    <row r="51" spans="1:8" s="3" customFormat="1" ht="11.25">
      <c r="A51" s="3" t="s">
        <v>44</v>
      </c>
      <c r="C51" s="13">
        <f aca="true" t="shared" si="13" ref="C51:H51">C10/C15</f>
        <v>0.2069591173802347</v>
      </c>
      <c r="D51" s="13">
        <f t="shared" si="13"/>
        <v>0.15306101425593202</v>
      </c>
      <c r="E51" s="13">
        <f t="shared" si="13"/>
        <v>0.15420584058612055</v>
      </c>
      <c r="F51" s="13">
        <f t="shared" si="13"/>
        <v>0.2299205541741197</v>
      </c>
      <c r="G51" s="13">
        <f t="shared" si="13"/>
        <v>0.28005833737024605</v>
      </c>
      <c r="H51" s="13">
        <f t="shared" si="13"/>
        <v>0.2730040256627656</v>
      </c>
    </row>
    <row r="52" spans="1:8" s="3" customFormat="1" ht="11.25">
      <c r="A52" s="3" t="s">
        <v>45</v>
      </c>
      <c r="C52" s="13">
        <f aca="true" t="shared" si="14" ref="C52:H52">C10/C9</f>
        <v>0.0554687486869255</v>
      </c>
      <c r="D52" s="13">
        <f t="shared" si="14"/>
        <v>0.04541568656144159</v>
      </c>
      <c r="E52" s="13">
        <f t="shared" si="14"/>
        <v>0.04969684368023305</v>
      </c>
      <c r="F52" s="13">
        <f t="shared" si="14"/>
        <v>0.06862189247792752</v>
      </c>
      <c r="G52" s="13">
        <f t="shared" si="14"/>
        <v>0.0768589082504991</v>
      </c>
      <c r="H52" s="13">
        <f t="shared" si="14"/>
        <v>0.05748278685216122</v>
      </c>
    </row>
    <row r="53" spans="1:8" s="3" customFormat="1" ht="11.25">
      <c r="A53" s="4" t="s">
        <v>46</v>
      </c>
      <c r="B53" s="4"/>
      <c r="C53" s="14">
        <f aca="true" t="shared" si="15" ref="C53:H53">(C10+C14)/C15</f>
        <v>0.5033075944375</v>
      </c>
      <c r="D53" s="14">
        <f t="shared" si="15"/>
        <v>0.34610006064984183</v>
      </c>
      <c r="E53" s="14">
        <f t="shared" si="15"/>
        <v>0.32256650559215666</v>
      </c>
      <c r="F53" s="14">
        <f t="shared" si="15"/>
        <v>0.3957526050370784</v>
      </c>
      <c r="G53" s="14">
        <f t="shared" si="15"/>
        <v>0.4332571526864521</v>
      </c>
      <c r="H53" s="14">
        <f t="shared" si="15"/>
        <v>0.4566452047308452</v>
      </c>
    </row>
    <row r="54" s="3" customFormat="1" ht="11.25">
      <c r="A54" s="6" t="s">
        <v>47</v>
      </c>
    </row>
    <row r="55" spans="1:8" s="3" customFormat="1" ht="11.25">
      <c r="A55" s="3" t="s">
        <v>48</v>
      </c>
      <c r="C55" s="10">
        <f>C38/C26</f>
        <v>0.017921904323974613</v>
      </c>
      <c r="D55" s="10">
        <f>(D38/0.75)/D26</f>
        <v>0.01866441342105703</v>
      </c>
      <c r="E55" s="10">
        <f>(E38/0.5)/E26</f>
        <v>0.018828975809726197</v>
      </c>
      <c r="F55" s="10">
        <f>((F38)/0.25)/F26</f>
        <v>0.01913410108286169</v>
      </c>
      <c r="G55" s="10">
        <f>G38/G26</f>
        <v>0.019205352027478143</v>
      </c>
      <c r="H55" s="10">
        <f>H38/H26</f>
        <v>0.015829095254402712</v>
      </c>
    </row>
    <row r="56" spans="1:8" s="3" customFormat="1" ht="11.25">
      <c r="A56" s="3" t="s">
        <v>49</v>
      </c>
      <c r="C56" s="10">
        <f>C38/C25</f>
        <v>0.016252820707222785</v>
      </c>
      <c r="D56" s="10">
        <f>(D38/0.75)/D25</f>
        <v>0.017158119997241063</v>
      </c>
      <c r="E56" s="10">
        <f>(E38/0.5)/E25</f>
        <v>0.017424013860011026</v>
      </c>
      <c r="F56" s="10">
        <f>((F38)/0.25)/F25</f>
        <v>0.017468549084270358</v>
      </c>
      <c r="G56" s="10">
        <f>G38/G25</f>
        <v>0.017464827456558075</v>
      </c>
      <c r="H56" s="10">
        <f>H38/H25</f>
        <v>0.014570338117988014</v>
      </c>
    </row>
    <row r="57" spans="1:8" s="3" customFormat="1" ht="11.25">
      <c r="A57" s="3" t="s">
        <v>50</v>
      </c>
      <c r="C57" s="10">
        <f>C38/C29</f>
        <v>0.13813174250859853</v>
      </c>
      <c r="D57" s="10">
        <f>(D38/0.75)/D29</f>
        <v>0.1446880002962848</v>
      </c>
      <c r="E57" s="10">
        <f>(E38/0.5)/E29</f>
        <v>0.14784935971979712</v>
      </c>
      <c r="F57" s="10">
        <f>((F38)/0.25)/F29</f>
        <v>0.14628497581729127</v>
      </c>
      <c r="G57" s="10">
        <f>G38/G29</f>
        <v>0.15096502895478323</v>
      </c>
      <c r="H57" s="10">
        <f>H38/H29</f>
        <v>0.13587609254255414</v>
      </c>
    </row>
    <row r="58" spans="1:8" s="3" customFormat="1" ht="11.25">
      <c r="A58" s="3" t="s">
        <v>51</v>
      </c>
      <c r="C58" s="10">
        <f>C31/C25</f>
        <v>0.07178631391740266</v>
      </c>
      <c r="D58" s="10">
        <f>(D31/0.75)/D25</f>
        <v>0.07205553304685228</v>
      </c>
      <c r="E58" s="10">
        <f>(E31/0.5)/E25</f>
        <v>0.07114505659265866</v>
      </c>
      <c r="F58" s="10">
        <f>((F31)/0.25)/F25</f>
        <v>0.07309146896466263</v>
      </c>
      <c r="G58" s="10">
        <f>G31/G25</f>
        <v>0.06778315886318709</v>
      </c>
      <c r="H58" s="10">
        <f>H31/H25</f>
        <v>0.07570433720418304</v>
      </c>
    </row>
    <row r="59" spans="1:8" s="3" customFormat="1" ht="11.25">
      <c r="A59" s="3" t="s">
        <v>52</v>
      </c>
      <c r="C59" s="10">
        <f>C32/C25</f>
        <v>0.05276382031378571</v>
      </c>
      <c r="D59" s="10">
        <f>(D32/0.75)/D25</f>
        <v>0.052503671513873494</v>
      </c>
      <c r="E59" s="10">
        <f>(E32/0.5)/E25</f>
        <v>0.051527904624469587</v>
      </c>
      <c r="F59" s="10">
        <f>((F32)/0.25)/F25</f>
        <v>0.0525071305656206</v>
      </c>
      <c r="G59" s="10">
        <f>G32/G25</f>
        <v>0.04819488083366468</v>
      </c>
      <c r="H59" s="10">
        <f>H32/H25</f>
        <v>0.057309089964322636</v>
      </c>
    </row>
    <row r="60" spans="1:8" s="3" customFormat="1" ht="11.25">
      <c r="A60" s="3" t="s">
        <v>53</v>
      </c>
      <c r="C60" s="10">
        <f>C33/C25</f>
        <v>0.019022493603616946</v>
      </c>
      <c r="D60" s="10">
        <f>(D33)/0.75/D25</f>
        <v>0.01955186153297878</v>
      </c>
      <c r="E60" s="10">
        <f>(E33/0.5)/E25</f>
        <v>0.019617151968189066</v>
      </c>
      <c r="F60" s="10">
        <f>((F33)/0.25)/F25</f>
        <v>0.020584338399042033</v>
      </c>
      <c r="G60" s="10">
        <f>G33/G25</f>
        <v>0.019588278029522403</v>
      </c>
      <c r="H60" s="10">
        <f>H33/H25</f>
        <v>0.01839524723986041</v>
      </c>
    </row>
    <row r="61" spans="1:8" s="3" customFormat="1" ht="11.25">
      <c r="A61" s="3" t="s">
        <v>54</v>
      </c>
      <c r="C61" s="10">
        <f>C36/C35</f>
        <v>0.16973390405713687</v>
      </c>
      <c r="D61" s="10">
        <f>(D36/0.75)/(D35/0.75)</f>
        <v>0.1592643923240938</v>
      </c>
      <c r="E61" s="10">
        <f>(E36/0.5)/(E35/0.5)</f>
        <v>0.15784038467744538</v>
      </c>
      <c r="F61" s="10">
        <f>(F36/0.25)/(F35/0.25)</f>
        <v>0.15106164063230754</v>
      </c>
      <c r="G61" s="10">
        <f>G36/G35</f>
        <v>0.13328440781302925</v>
      </c>
      <c r="H61" s="10">
        <f>H36/H35</f>
        <v>0.12494670645917715</v>
      </c>
    </row>
    <row r="62" spans="1:8" s="3" customFormat="1" ht="11.25">
      <c r="A62" s="4" t="s">
        <v>55</v>
      </c>
      <c r="B62" s="4"/>
      <c r="C62" s="12">
        <f>C34/C25</f>
        <v>0.005038166887726518</v>
      </c>
      <c r="D62" s="12">
        <f>(D34/0.75)/D25</f>
        <v>0.005415663881476655</v>
      </c>
      <c r="E62" s="12">
        <f>(E34/0.5)/E25</f>
        <v>0.005735868198986067</v>
      </c>
      <c r="F62" s="12">
        <f>(F34/0.25)/F25</f>
        <v>0.0063154491359974935</v>
      </c>
      <c r="G62" s="12">
        <f>G34/G25</f>
        <v>0.005369411463030272</v>
      </c>
      <c r="H62" s="12">
        <f>H34/H25</f>
        <v>0.004456778263052015</v>
      </c>
    </row>
    <row r="63" s="3" customFormat="1" ht="11.25">
      <c r="A63" s="6" t="s">
        <v>56</v>
      </c>
    </row>
    <row r="64" spans="1:8" s="3" customFormat="1" ht="11.25">
      <c r="A64" s="3" t="s">
        <v>57</v>
      </c>
      <c r="C64" s="8">
        <v>190</v>
      </c>
      <c r="D64" s="8">
        <v>198</v>
      </c>
      <c r="E64" s="8">
        <v>186</v>
      </c>
      <c r="F64" s="8">
        <v>187</v>
      </c>
      <c r="G64" s="8">
        <v>180</v>
      </c>
      <c r="H64" s="8">
        <v>160</v>
      </c>
    </row>
    <row r="65" spans="1:8" s="3" customFormat="1" ht="11.25">
      <c r="A65" s="3" t="s">
        <v>58</v>
      </c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s="3" customFormat="1" ht="11.25">
      <c r="A66" s="3" t="s">
        <v>59</v>
      </c>
      <c r="C66" s="8">
        <f aca="true" t="shared" si="16" ref="C66:H66">C11/C64</f>
        <v>23640.615789473683</v>
      </c>
      <c r="D66" s="8">
        <f t="shared" si="16"/>
        <v>22920.833333333332</v>
      </c>
      <c r="E66" s="8">
        <f t="shared" si="16"/>
        <v>21881.93010752688</v>
      </c>
      <c r="F66" s="8">
        <f t="shared" si="16"/>
        <v>20721.395721925135</v>
      </c>
      <c r="G66" s="8">
        <f t="shared" si="16"/>
        <v>23477.294444444444</v>
      </c>
      <c r="H66" s="8">
        <f t="shared" si="16"/>
        <v>27557.85</v>
      </c>
    </row>
    <row r="67" spans="1:8" s="3" customFormat="1" ht="11.25">
      <c r="A67" s="3" t="s">
        <v>60</v>
      </c>
      <c r="C67" s="8">
        <f aca="true" t="shared" si="17" ref="C67:H67">C15/C64</f>
        <v>7553.58947368421</v>
      </c>
      <c r="D67" s="8">
        <f t="shared" si="17"/>
        <v>7844.333333333333</v>
      </c>
      <c r="E67" s="8">
        <f t="shared" si="17"/>
        <v>8083.037634408603</v>
      </c>
      <c r="F67" s="8">
        <f t="shared" si="17"/>
        <v>7279.705882352941</v>
      </c>
      <c r="G67" s="8">
        <f t="shared" si="17"/>
        <v>7557.572222222222</v>
      </c>
      <c r="H67" s="8">
        <f t="shared" si="17"/>
        <v>6553.26875</v>
      </c>
    </row>
    <row r="68" spans="1:8" s="3" customFormat="1" ht="11.25">
      <c r="A68" s="4" t="s">
        <v>61</v>
      </c>
      <c r="B68" s="4"/>
      <c r="C68" s="9">
        <f aca="true" t="shared" si="18" ref="C68:H68">(C38/C64)</f>
        <v>441.03684210526313</v>
      </c>
      <c r="D68" s="9">
        <f t="shared" si="18"/>
        <v>325.56060606060606</v>
      </c>
      <c r="E68" s="9">
        <f t="shared" si="18"/>
        <v>228.98924731182797</v>
      </c>
      <c r="F68" s="9">
        <f t="shared" si="18"/>
        <v>111.37967914438502</v>
      </c>
      <c r="G68" s="9">
        <f t="shared" si="18"/>
        <v>482.06111111111113</v>
      </c>
      <c r="H68" s="9">
        <f t="shared" si="18"/>
        <v>448.64375</v>
      </c>
    </row>
    <row r="69" s="3" customFormat="1" ht="11.25">
      <c r="A69" s="6" t="s">
        <v>62</v>
      </c>
    </row>
    <row r="70" spans="1:8" s="3" customFormat="1" ht="11.25">
      <c r="A70" s="3" t="s">
        <v>63</v>
      </c>
      <c r="C70" s="10">
        <f>(C9/G9)-1</f>
        <v>0.08027435762115265</v>
      </c>
      <c r="D70" s="10">
        <f>(D9/4783790)-1</f>
        <v>0.09422800750032923</v>
      </c>
      <c r="E70" s="10">
        <f>(E9/5112684)-1</f>
        <v>-0.08754677582264037</v>
      </c>
      <c r="F70" s="10">
        <f>(F9/4977404)-1</f>
        <v>-0.08363677129684466</v>
      </c>
      <c r="G70" s="10">
        <f>(G9/H9)-1</f>
        <v>-0.0045947914451452965</v>
      </c>
      <c r="H70" s="10">
        <f>(H9/4873537)-1</f>
        <v>0.021797721039154894</v>
      </c>
    </row>
    <row r="71" spans="1:8" s="3" customFormat="1" ht="11.25">
      <c r="A71" s="3" t="s">
        <v>64</v>
      </c>
      <c r="C71" s="10">
        <f>(C11/G11)-1</f>
        <v>0.06289859729719938</v>
      </c>
      <c r="D71" s="10">
        <f>D11/4170214-1</f>
        <v>0.08827148918496741</v>
      </c>
      <c r="E71" s="10">
        <f>E11/4570402-1</f>
        <v>-0.10947899112594472</v>
      </c>
      <c r="F71" s="10">
        <f>F11/4431975-1</f>
        <v>-0.12569430107344914</v>
      </c>
      <c r="G71" s="10">
        <f>(G11/H11)-1</f>
        <v>-0.041581391509134424</v>
      </c>
      <c r="H71" s="10">
        <f>H11/4239130-1</f>
        <v>0.04013229129561968</v>
      </c>
    </row>
    <row r="72" spans="2:8" s="3" customFormat="1" ht="11.25">
      <c r="B72" s="3" t="s">
        <v>13</v>
      </c>
      <c r="C72" s="10">
        <f>(C12/G12)-1</f>
        <v>-0.22000921202090662</v>
      </c>
      <c r="D72" s="10">
        <f>(D12/445564)-1</f>
        <v>0.02259608047328787</v>
      </c>
      <c r="E72" s="10">
        <f>(E12/420383)-1</f>
        <v>0.005392701417516799</v>
      </c>
      <c r="F72" s="10">
        <f>(F12/349582)-1</f>
        <v>0.16325211252295602</v>
      </c>
      <c r="G72" s="10">
        <f>(G12/H12)-1</f>
        <v>0.6892972773370787</v>
      </c>
      <c r="H72" s="10">
        <f>(H12/834)-1</f>
        <v>362.67625899280574</v>
      </c>
    </row>
    <row r="73" spans="2:8" s="3" customFormat="1" ht="11.25">
      <c r="B73" s="3" t="s">
        <v>14</v>
      </c>
      <c r="C73" s="10">
        <f>(C13/G13)-1</f>
        <v>0.10193268469780437</v>
      </c>
      <c r="D73" s="10">
        <f>(D13/3724651)-1</f>
        <v>0.09612766404154383</v>
      </c>
      <c r="E73" s="10">
        <f>(E13/4150019)-1</f>
        <v>-0.12111510814769766</v>
      </c>
      <c r="F73" s="10">
        <f>(F13/4082393)-1</f>
        <v>-0.15043725579580403</v>
      </c>
      <c r="G73" s="10">
        <f>(G13/H13)-1</f>
        <v>-0.09557130505729494</v>
      </c>
      <c r="H73" s="10">
        <f>(H13/4238296)-1</f>
        <v>-0.03122622865415725</v>
      </c>
    </row>
    <row r="74" spans="1:8" s="3" customFormat="1" ht="11.25">
      <c r="A74" s="3" t="s">
        <v>65</v>
      </c>
      <c r="C74" s="10">
        <f>(C15/G15)-1</f>
        <v>0.05499929063051545</v>
      </c>
      <c r="D74" s="10">
        <f>D15/1199147-1</f>
        <v>0.2952356967077432</v>
      </c>
      <c r="E74" s="10">
        <f>E15/1229750-1</f>
        <v>0.22256149623907295</v>
      </c>
      <c r="F74" s="10">
        <f>F15/1063800-1</f>
        <v>0.2796625305508553</v>
      </c>
      <c r="G74" s="10">
        <f>(G15/H15)-1</f>
        <v>0.29740883127980977</v>
      </c>
      <c r="H74" s="10">
        <f>H15/1074910-1</f>
        <v>-0.02454810170153776</v>
      </c>
    </row>
    <row r="75" spans="2:8" s="3" customFormat="1" ht="11.25">
      <c r="B75" s="3" t="s">
        <v>13</v>
      </c>
      <c r="C75" s="10">
        <f>(C16/G16)-1</f>
        <v>0.3637434510921391</v>
      </c>
      <c r="D75" s="10">
        <f>(D16/244125)-1</f>
        <v>0.34957501280081926</v>
      </c>
      <c r="E75" s="10">
        <f>(E16/270245)-1</f>
        <v>0.4515717219560029</v>
      </c>
      <c r="F75" s="10">
        <f>(F16/195938)-1</f>
        <v>0.5071502209882719</v>
      </c>
      <c r="G75" s="10">
        <f>(G16/H16)-1</f>
        <v>0.16374943425129684</v>
      </c>
      <c r="H75" s="10">
        <f>(H16/196664)-1</f>
        <v>0.16840906317373805</v>
      </c>
    </row>
    <row r="76" spans="2:8" s="3" customFormat="1" ht="11.25">
      <c r="B76" s="3" t="s">
        <v>14</v>
      </c>
      <c r="C76" s="10">
        <f>(C20/G20)-1</f>
        <v>-0.020540700781004118</v>
      </c>
      <c r="D76" s="10">
        <f>(D20/955022)-1</f>
        <v>0.2813453512065691</v>
      </c>
      <c r="E76" s="10">
        <f>(E20/959505)-1</f>
        <v>0.15806066669793273</v>
      </c>
      <c r="F76" s="10">
        <f>(F20/867862)-1</f>
        <v>0.22830242596173123</v>
      </c>
      <c r="G76" s="10">
        <f>(G20/H20)-1</f>
        <v>0.33492114092525216</v>
      </c>
      <c r="H76" s="10">
        <f>(H20/878247)-1</f>
        <v>-0.06775770369839007</v>
      </c>
    </row>
    <row r="77" spans="1:8" s="3" customFormat="1" ht="11.25">
      <c r="A77" s="3" t="s">
        <v>66</v>
      </c>
      <c r="C77" s="10">
        <f>(C23/G23)-1</f>
        <v>0.007350800100591748</v>
      </c>
      <c r="D77" s="10">
        <f>(D23/586204)-1</f>
        <v>0.026676720049675584</v>
      </c>
      <c r="E77" s="10">
        <f>(E23/562696)-1</f>
        <v>0.047833999175398434</v>
      </c>
      <c r="F77" s="10">
        <f>(F23/542663)-1</f>
        <v>0.09897487022332463</v>
      </c>
      <c r="G77" s="10">
        <f>(G23/H23)-1</f>
        <v>0.10877648694707842</v>
      </c>
      <c r="H77" s="10">
        <f>(H23/511468)-1</f>
        <v>0.06580861363760793</v>
      </c>
    </row>
    <row r="78" spans="1:8" s="3" customFormat="1" ht="11.25">
      <c r="A78" s="4" t="s">
        <v>67</v>
      </c>
      <c r="B78" s="4"/>
      <c r="C78" s="12">
        <f>(C38/G38)-1</f>
        <v>-0.034274123843219484</v>
      </c>
      <c r="D78" s="12">
        <f>(D38/64883)-1</f>
        <v>-0.006504014919162193</v>
      </c>
      <c r="E78" s="12">
        <f>(E38/41232)-1</f>
        <v>0.032984090027163404</v>
      </c>
      <c r="F78" s="12">
        <f>(F38/19800)-1</f>
        <v>0.05191919191919192</v>
      </c>
      <c r="G78" s="12">
        <f>(G38/H38)-1</f>
        <v>0.20879595447390042</v>
      </c>
      <c r="H78" s="12">
        <f>(H38/65904)-1</f>
        <v>0.08920551104637053</v>
      </c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</sheetData>
  <sheetProtection password="CD66" sheet="1" objects="1" scenarios="1"/>
  <mergeCells count="1">
    <mergeCell ref="C2:H2"/>
  </mergeCells>
  <printOptions horizontalCentered="1"/>
  <pageMargins left="0.75" right="0.75" top="0.3937007874015748" bottom="1" header="0" footer="0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2002-04-24T21:17:27Z</cp:lastPrinted>
  <dcterms:created xsi:type="dcterms:W3CDTF">2002-03-08T14:11:14Z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