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SCHisp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<sst xmlns="http://schemas.openxmlformats.org/spreadsheetml/2006/main" count="82" uniqueCount="70">
  <si>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CUADRO No. 18-33    BANCO SANTANDER CENTRAL HISPANO (1)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</si>
  <si>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</si>
  <si>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</si>
  <si>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</si>
  <si>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</si>
  <si>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</si>
  <si>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</si>
  <si>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</si>
  <si>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</si>
  <si>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</si>
  <si>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</si>
  <si>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</si>
  <si>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</si>
  <si>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</si>
  <si>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</si>
  <si>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</si>
  <si>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</si>
  <si>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</si>
  <si>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</si>
  <si>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</si>
  <si>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</si>
  <si>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</si>
  <si>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</si>
  <si>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</si>
  <si>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</si>
  <si>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</si>
  <si>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</si>
  <si>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</si>
  <si>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</si>
  <si>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</si>
  <si>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</si>
  <si>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</si>
  <si>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</si>
  <si>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</si>
  <si>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</si>
  <si>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</si>
  <si>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</si>
  <si>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</si>
  <si>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</si>
  <si>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</si>
  <si>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</si>
  <si>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</si>
  <si>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</si>
  <si>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</si>
  <si>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</si>
  <si>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</si>
  <si>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</si>
  <si>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</si>
  <si>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</si>
  <si>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</si>
  <si>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</si>
  <si>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</si>
  <si>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</si>
  <si>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</si>
  <si>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</si>
  <si>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</si>
  <si>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</si>
  <si>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</si>
  <si>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</si>
  <si>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</si>
  <si>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</si>
  <si>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</si>
  <si>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</si>
  <si>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</si>
  <si>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</si>
  <si>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</si>
  <si>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</si>
  <si>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</si>
  <si>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</si>
  <si>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 Antes Banco Central Hispanoamericano.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</si>
</sst>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11.421875" defaultRowHeight="12.75"/>
  <cols>
    <col min="1" max="1" width="3.57421875" style="1" customWidth="1"/>
    <col min="2" max="2" width="38.28125" style="1" customWidth="1"/>
    <col min="3" max="3" width="11.421875" style="1" customWidth="1"/>
    <col min="4" max="4" width="9.00390625" style="1" customWidth="1"/>
    <col min="5" max="5" width="9.7109375" style="1" customWidth="1"/>
    <col min="6" max="6" width="8.421875" style="1" customWidth="1"/>
    <col min="7" max="16384" width="11.42187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15"/>
      <c r="B6" s="15"/>
      <c r="C6" s="15"/>
      <c r="D6" s="15"/>
      <c r="E6" s="15"/>
      <c r="F6" s="15"/>
      <c r="G6" s="15"/>
      <c r="H6" s="15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111693</v>
      </c>
      <c r="D9" s="7">
        <v>145633</v>
      </c>
      <c r="E9" s="7">
        <v>107358</v>
      </c>
      <c r="F9" s="7">
        <v>106265</v>
      </c>
      <c r="G9" s="7">
        <v>117773</v>
      </c>
      <c r="H9" s="7">
        <v>127824</v>
      </c>
    </row>
    <row r="10" spans="1:8" ht="11.25">
      <c r="A10" s="6" t="s">
        <v>11</v>
      </c>
      <c r="B10" s="6"/>
      <c r="C10" s="7">
        <v>29486</v>
      </c>
      <c r="D10" s="7">
        <v>27032</v>
      </c>
      <c r="E10" s="7">
        <v>13207</v>
      </c>
      <c r="F10" s="7">
        <v>12573</v>
      </c>
      <c r="G10" s="7">
        <v>28454</v>
      </c>
      <c r="H10" s="7">
        <v>35431</v>
      </c>
    </row>
    <row r="11" spans="1:8" ht="11.25">
      <c r="A11" s="6" t="s">
        <v>12</v>
      </c>
      <c r="B11" s="6"/>
      <c r="C11" s="7">
        <f aca="true" t="shared" si="0" ref="C11:H11">C12+C13</f>
        <v>75051</v>
      </c>
      <c r="D11" s="7">
        <f t="shared" si="0"/>
        <v>106061</v>
      </c>
      <c r="E11" s="7">
        <f t="shared" si="0"/>
        <v>84419</v>
      </c>
      <c r="F11" s="7">
        <f t="shared" si="0"/>
        <v>83546</v>
      </c>
      <c r="G11" s="7">
        <f t="shared" si="0"/>
        <v>77022</v>
      </c>
      <c r="H11" s="7">
        <f t="shared" si="0"/>
        <v>89192</v>
      </c>
    </row>
    <row r="12" spans="1:8" ht="11.25">
      <c r="A12" s="6"/>
      <c r="B12" s="6" t="s">
        <v>13</v>
      </c>
      <c r="C12" s="7">
        <v>47840</v>
      </c>
      <c r="D12" s="7">
        <v>74718</v>
      </c>
      <c r="E12" s="7">
        <v>72590</v>
      </c>
      <c r="F12" s="7">
        <v>81286</v>
      </c>
      <c r="G12" s="7">
        <v>74856</v>
      </c>
      <c r="H12" s="7">
        <v>68618</v>
      </c>
    </row>
    <row r="13" spans="1:8" ht="11.25">
      <c r="A13" s="6"/>
      <c r="B13" s="6" t="s">
        <v>14</v>
      </c>
      <c r="C13" s="7">
        <v>27211</v>
      </c>
      <c r="D13" s="7">
        <v>31343</v>
      </c>
      <c r="E13" s="7">
        <v>11829</v>
      </c>
      <c r="F13" s="7">
        <v>2260</v>
      </c>
      <c r="G13" s="7">
        <v>2166</v>
      </c>
      <c r="H13" s="7">
        <v>20574</v>
      </c>
    </row>
    <row r="14" spans="1:8" ht="11.25">
      <c r="A14" s="6" t="s">
        <v>15</v>
      </c>
      <c r="B14" s="6"/>
      <c r="C14" s="7">
        <v>2500</v>
      </c>
      <c r="D14" s="7">
        <v>5927</v>
      </c>
      <c r="E14" s="7">
        <v>4007</v>
      </c>
      <c r="F14" s="7">
        <v>4256</v>
      </c>
      <c r="G14" s="7">
        <v>4506</v>
      </c>
      <c r="H14" s="7">
        <v>0</v>
      </c>
    </row>
    <row r="15" spans="1:8" ht="11.25">
      <c r="A15" s="6" t="s">
        <v>16</v>
      </c>
      <c r="B15" s="6"/>
      <c r="C15" s="7">
        <f aca="true" t="shared" si="1" ref="C15:H15">C16+C20</f>
        <v>77071</v>
      </c>
      <c r="D15" s="7">
        <f t="shared" si="1"/>
        <v>111494</v>
      </c>
      <c r="E15" s="7">
        <f t="shared" si="1"/>
        <v>75420</v>
      </c>
      <c r="F15" s="7">
        <f t="shared" si="1"/>
        <v>71113</v>
      </c>
      <c r="G15" s="7">
        <f t="shared" si="1"/>
        <v>82680</v>
      </c>
      <c r="H15" s="7">
        <f t="shared" si="1"/>
        <v>89446</v>
      </c>
    </row>
    <row r="16" spans="1:8" ht="11.25">
      <c r="A16" s="6"/>
      <c r="B16" s="6" t="s">
        <v>13</v>
      </c>
      <c r="C16" s="7">
        <f aca="true" t="shared" si="2" ref="C16:H16">SUM(C17:C19)</f>
        <v>55791</v>
      </c>
      <c r="D16" s="7">
        <f t="shared" si="2"/>
        <v>85017</v>
      </c>
      <c r="E16" s="7">
        <f t="shared" si="2"/>
        <v>42627</v>
      </c>
      <c r="F16" s="7">
        <f t="shared" si="2"/>
        <v>39774</v>
      </c>
      <c r="G16" s="7">
        <f t="shared" si="2"/>
        <v>50613</v>
      </c>
      <c r="H16" s="7">
        <f t="shared" si="2"/>
        <v>52880</v>
      </c>
    </row>
    <row r="17" spans="1:8" ht="11.25">
      <c r="A17" s="6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28570</v>
      </c>
      <c r="D18" s="7">
        <v>39660</v>
      </c>
      <c r="E18" s="7">
        <v>35409</v>
      </c>
      <c r="F18" s="7">
        <v>37312</v>
      </c>
      <c r="G18" s="7">
        <v>41588</v>
      </c>
      <c r="H18" s="7">
        <v>52880</v>
      </c>
    </row>
    <row r="19" spans="1:8" ht="11.25">
      <c r="A19" s="6"/>
      <c r="B19" s="6" t="s">
        <v>19</v>
      </c>
      <c r="C19" s="7">
        <v>27221</v>
      </c>
      <c r="D19" s="7">
        <v>45357</v>
      </c>
      <c r="E19" s="7">
        <v>7218</v>
      </c>
      <c r="F19" s="7">
        <v>2462</v>
      </c>
      <c r="G19" s="7">
        <v>9025</v>
      </c>
      <c r="H19" s="7">
        <v>0</v>
      </c>
    </row>
    <row r="20" spans="1:8" ht="11.25">
      <c r="A20" s="6"/>
      <c r="B20" s="6" t="s">
        <v>14</v>
      </c>
      <c r="C20" s="7">
        <f aca="true" t="shared" si="3" ref="C20:H20">SUM(C21:C22)</f>
        <v>21280</v>
      </c>
      <c r="D20" s="7">
        <f t="shared" si="3"/>
        <v>26477</v>
      </c>
      <c r="E20" s="7">
        <f t="shared" si="3"/>
        <v>32793</v>
      </c>
      <c r="F20" s="7">
        <f t="shared" si="3"/>
        <v>31339</v>
      </c>
      <c r="G20" s="7">
        <f t="shared" si="3"/>
        <v>32067</v>
      </c>
      <c r="H20" s="7">
        <f t="shared" si="3"/>
        <v>36566</v>
      </c>
    </row>
    <row r="21" spans="1:8" ht="11.25">
      <c r="A21" s="6"/>
      <c r="B21" s="6" t="s">
        <v>18</v>
      </c>
      <c r="C21" s="7">
        <v>4168</v>
      </c>
      <c r="D21" s="7">
        <v>7774</v>
      </c>
      <c r="E21" s="7">
        <v>7339</v>
      </c>
      <c r="F21" s="7">
        <v>5659</v>
      </c>
      <c r="G21" s="7">
        <v>4667</v>
      </c>
      <c r="H21" s="7">
        <v>5243</v>
      </c>
    </row>
    <row r="22" spans="1:8" ht="11.25">
      <c r="A22" s="6"/>
      <c r="B22" s="6" t="s">
        <v>19</v>
      </c>
      <c r="C22" s="7">
        <v>17112</v>
      </c>
      <c r="D22" s="7">
        <v>18703</v>
      </c>
      <c r="E22" s="7">
        <v>25454</v>
      </c>
      <c r="F22" s="7">
        <v>25680</v>
      </c>
      <c r="G22" s="7">
        <v>27400</v>
      </c>
      <c r="H22" s="7">
        <v>31323</v>
      </c>
    </row>
    <row r="23" spans="1:8" ht="11.25">
      <c r="A23" s="2" t="s">
        <v>20</v>
      </c>
      <c r="B23" s="2"/>
      <c r="C23" s="8">
        <v>17148</v>
      </c>
      <c r="D23" s="8">
        <v>21432</v>
      </c>
      <c r="E23" s="8">
        <v>24866</v>
      </c>
      <c r="F23" s="8">
        <v>24566</v>
      </c>
      <c r="G23" s="8">
        <v>24086</v>
      </c>
      <c r="H23" s="8">
        <v>25319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(111693+117773)/2</f>
        <v>114733</v>
      </c>
      <c r="D25" s="7">
        <f>(D9+170115)/2</f>
        <v>157874</v>
      </c>
      <c r="E25" s="7">
        <f>(E9+108685)/2</f>
        <v>108021.5</v>
      </c>
      <c r="F25" s="7">
        <f>(F9+116391)/2</f>
        <v>111328</v>
      </c>
      <c r="G25" s="7">
        <f>(G9+H9)/2</f>
        <v>122798.5</v>
      </c>
      <c r="H25" s="7">
        <f>(H9+275306)/2</f>
        <v>201565</v>
      </c>
    </row>
    <row r="26" spans="1:8" ht="11.25">
      <c r="A26" s="6" t="s">
        <v>22</v>
      </c>
      <c r="B26" s="6"/>
      <c r="C26" s="7">
        <f aca="true" t="shared" si="4" ref="C26:H26">C27+C28</f>
        <v>79539.5</v>
      </c>
      <c r="D26" s="7">
        <f t="shared" si="4"/>
        <v>104283.5</v>
      </c>
      <c r="E26" s="7">
        <f t="shared" si="4"/>
        <v>84797</v>
      </c>
      <c r="F26" s="7">
        <f t="shared" si="4"/>
        <v>86846</v>
      </c>
      <c r="G26" s="7">
        <f t="shared" si="4"/>
        <v>85360</v>
      </c>
      <c r="H26" s="7">
        <f t="shared" si="4"/>
        <v>139930.5</v>
      </c>
    </row>
    <row r="27" spans="1:8" ht="11.25">
      <c r="A27" s="6"/>
      <c r="B27" s="6" t="s">
        <v>12</v>
      </c>
      <c r="C27" s="7">
        <f>(C11+G11)/2</f>
        <v>76036.5</v>
      </c>
      <c r="D27" s="7">
        <f>(D11+92225)/2</f>
        <v>99143</v>
      </c>
      <c r="E27" s="7">
        <f>(E11+76814)/2</f>
        <v>80616.5</v>
      </c>
      <c r="F27" s="7">
        <f>(F11+85890)/2</f>
        <v>84718</v>
      </c>
      <c r="G27" s="7">
        <f>(G11+H11)/2</f>
        <v>83107</v>
      </c>
      <c r="H27" s="7">
        <f>(H11+190669)/2</f>
        <v>139930.5</v>
      </c>
    </row>
    <row r="28" spans="1:8" ht="11.25">
      <c r="A28" s="6"/>
      <c r="B28" s="6" t="s">
        <v>15</v>
      </c>
      <c r="C28" s="7">
        <f>(C14+G14)/2</f>
        <v>3503</v>
      </c>
      <c r="D28" s="7">
        <f>(D14+4354)/2</f>
        <v>5140.5</v>
      </c>
      <c r="E28" s="7">
        <f>(E14+4354)/2</f>
        <v>4180.5</v>
      </c>
      <c r="F28" s="7">
        <f>(4256+0)/2</f>
        <v>2128</v>
      </c>
      <c r="G28" s="7">
        <f>(G14+H14)/2</f>
        <v>2253</v>
      </c>
      <c r="H28" s="7">
        <v>0</v>
      </c>
    </row>
    <row r="29" spans="1:8" ht="11.25">
      <c r="A29" s="2" t="s">
        <v>20</v>
      </c>
      <c r="B29" s="2"/>
      <c r="C29" s="8">
        <f>(C23+G23)/2</f>
        <v>20617</v>
      </c>
      <c r="D29" s="8">
        <f>(D23+24731)/2</f>
        <v>23081.5</v>
      </c>
      <c r="E29" s="8">
        <f>(E23+24195)/2</f>
        <v>24530.5</v>
      </c>
      <c r="F29" s="8">
        <f>(F23+23480)/2</f>
        <v>24023</v>
      </c>
      <c r="G29" s="8">
        <f>(G23+H23)/2</f>
        <v>24702.5</v>
      </c>
      <c r="H29" s="8">
        <f>(H23+25373)/2</f>
        <v>25346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f>2713+D31</f>
        <v>10512</v>
      </c>
      <c r="D31" s="7">
        <f>2854+E31</f>
        <v>7799</v>
      </c>
      <c r="E31" s="7">
        <f>2559+F31</f>
        <v>4945</v>
      </c>
      <c r="F31" s="7">
        <v>2386</v>
      </c>
      <c r="G31" s="7">
        <v>10740</v>
      </c>
      <c r="H31" s="7">
        <v>16786</v>
      </c>
    </row>
    <row r="32" spans="1:8" ht="11.25">
      <c r="A32" s="6" t="s">
        <v>25</v>
      </c>
      <c r="B32" s="6"/>
      <c r="C32" s="7">
        <f>1889+D32</f>
        <v>6080</v>
      </c>
      <c r="D32" s="7">
        <f>1692+E32</f>
        <v>4191</v>
      </c>
      <c r="E32" s="7">
        <f>1325+F32</f>
        <v>2499</v>
      </c>
      <c r="F32" s="7">
        <v>1174</v>
      </c>
      <c r="G32" s="7">
        <v>5419</v>
      </c>
      <c r="H32" s="7">
        <v>10093</v>
      </c>
    </row>
    <row r="33" spans="1:8" ht="11.25">
      <c r="A33" s="6" t="s">
        <v>26</v>
      </c>
      <c r="B33" s="6"/>
      <c r="C33" s="7">
        <f aca="true" t="shared" si="5" ref="C33:H33">C31-C32</f>
        <v>4432</v>
      </c>
      <c r="D33" s="7">
        <f t="shared" si="5"/>
        <v>3608</v>
      </c>
      <c r="E33" s="7">
        <f t="shared" si="5"/>
        <v>2446</v>
      </c>
      <c r="F33" s="7">
        <f t="shared" si="5"/>
        <v>1212</v>
      </c>
      <c r="G33" s="7">
        <f t="shared" si="5"/>
        <v>5321</v>
      </c>
      <c r="H33" s="7">
        <f t="shared" si="5"/>
        <v>6693</v>
      </c>
    </row>
    <row r="34" spans="1:8" ht="11.25">
      <c r="A34" s="6" t="s">
        <v>27</v>
      </c>
      <c r="B34" s="6"/>
      <c r="C34" s="7">
        <f>571+D34</f>
        <v>3003</v>
      </c>
      <c r="D34" s="7">
        <f>2117+E34</f>
        <v>2432</v>
      </c>
      <c r="E34" s="7">
        <f>143+F34</f>
        <v>315</v>
      </c>
      <c r="F34" s="7">
        <v>172</v>
      </c>
      <c r="G34" s="7">
        <v>784</v>
      </c>
      <c r="H34" s="7">
        <v>1160</v>
      </c>
    </row>
    <row r="35" spans="1:8" ht="11.25">
      <c r="A35" s="6" t="s">
        <v>28</v>
      </c>
      <c r="B35" s="6"/>
      <c r="C35" s="7">
        <f aca="true" t="shared" si="6" ref="C35:H35">C33+C34</f>
        <v>7435</v>
      </c>
      <c r="D35" s="7">
        <f t="shared" si="6"/>
        <v>6040</v>
      </c>
      <c r="E35" s="7">
        <f t="shared" si="6"/>
        <v>2761</v>
      </c>
      <c r="F35" s="7">
        <f t="shared" si="6"/>
        <v>1384</v>
      </c>
      <c r="G35" s="7">
        <f t="shared" si="6"/>
        <v>6105</v>
      </c>
      <c r="H35" s="7">
        <f t="shared" si="6"/>
        <v>7853</v>
      </c>
    </row>
    <row r="36" spans="1:8" ht="11.25">
      <c r="A36" s="6" t="s">
        <v>29</v>
      </c>
      <c r="B36" s="6"/>
      <c r="C36" s="7">
        <f>4193+D36</f>
        <v>6991</v>
      </c>
      <c r="D36" s="7">
        <f>935+E36</f>
        <v>2798</v>
      </c>
      <c r="E36" s="7">
        <f>1007+F36</f>
        <v>1863</v>
      </c>
      <c r="F36" s="7">
        <v>856</v>
      </c>
      <c r="G36" s="7">
        <v>3181</v>
      </c>
      <c r="H36" s="7">
        <v>4091</v>
      </c>
    </row>
    <row r="37" spans="1:8" ht="11.25">
      <c r="A37" s="6" t="s">
        <v>30</v>
      </c>
      <c r="B37" s="6"/>
      <c r="C37" s="7">
        <f aca="true" t="shared" si="7" ref="C37:H37">C35-C36</f>
        <v>444</v>
      </c>
      <c r="D37" s="7">
        <f t="shared" si="7"/>
        <v>3242</v>
      </c>
      <c r="E37" s="7">
        <f t="shared" si="7"/>
        <v>898</v>
      </c>
      <c r="F37" s="7">
        <f t="shared" si="7"/>
        <v>528</v>
      </c>
      <c r="G37" s="7">
        <f t="shared" si="7"/>
        <v>2924</v>
      </c>
      <c r="H37" s="7">
        <f t="shared" si="7"/>
        <v>3762</v>
      </c>
    </row>
    <row r="38" spans="1:8" ht="11.25">
      <c r="A38" s="2" t="s">
        <v>31</v>
      </c>
      <c r="B38" s="2"/>
      <c r="C38" s="8">
        <f>-4282+D38</f>
        <v>-6935</v>
      </c>
      <c r="D38" s="8">
        <f>-3429+E38</f>
        <v>-2653</v>
      </c>
      <c r="E38" s="8">
        <f>299+F38</f>
        <v>776</v>
      </c>
      <c r="F38" s="8">
        <v>477</v>
      </c>
      <c r="G38" s="8">
        <v>1660</v>
      </c>
      <c r="H38" s="8">
        <v>2897</v>
      </c>
    </row>
    <row r="39" spans="1:8" ht="11.25">
      <c r="A39" s="4" t="s">
        <v>32</v>
      </c>
      <c r="B39" s="6"/>
      <c r="C39" s="7"/>
      <c r="D39" s="7"/>
      <c r="E39" s="7"/>
      <c r="F39" s="7"/>
      <c r="G39" s="7"/>
      <c r="H39" s="7"/>
    </row>
    <row r="40" spans="1:8" ht="11.25">
      <c r="A40" s="6" t="s">
        <v>33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1.25">
      <c r="A41" s="6" t="s">
        <v>34</v>
      </c>
      <c r="B41" s="6"/>
      <c r="C41" s="7">
        <v>9570</v>
      </c>
      <c r="D41" s="7">
        <v>4216</v>
      </c>
      <c r="E41" s="7">
        <v>7057</v>
      </c>
      <c r="F41" s="7">
        <v>7755</v>
      </c>
      <c r="G41" s="7">
        <v>4084</v>
      </c>
      <c r="H41" s="7">
        <v>4005</v>
      </c>
    </row>
    <row r="42" spans="1:8" ht="11.25">
      <c r="A42" s="6" t="s">
        <v>35</v>
      </c>
      <c r="B42" s="6"/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ht="11.25">
      <c r="A43" s="6" t="s">
        <v>36</v>
      </c>
      <c r="B43" s="6"/>
      <c r="C43" s="9">
        <f aca="true" t="shared" si="9" ref="C43:H43">(C41)/C11</f>
        <v>0.12751329096214575</v>
      </c>
      <c r="D43" s="9">
        <f t="shared" si="9"/>
        <v>0.03975070949736472</v>
      </c>
      <c r="E43" s="9">
        <f t="shared" si="9"/>
        <v>0.08359492531302196</v>
      </c>
      <c r="F43" s="9">
        <f t="shared" si="9"/>
        <v>0.09282311540947502</v>
      </c>
      <c r="G43" s="9">
        <f t="shared" si="9"/>
        <v>0.05302381137856716</v>
      </c>
      <c r="H43" s="9">
        <f t="shared" si="9"/>
        <v>0.04490313032558974</v>
      </c>
    </row>
    <row r="44" spans="1:8" ht="11.25">
      <c r="A44" s="10" t="s">
        <v>37</v>
      </c>
      <c r="B44" s="6"/>
      <c r="C44" s="9">
        <f aca="true" t="shared" si="10" ref="C44:H44">(C40+C41)/C11</f>
        <v>0.12751329096214575</v>
      </c>
      <c r="D44" s="9">
        <f t="shared" si="10"/>
        <v>0.03975070949736472</v>
      </c>
      <c r="E44" s="9">
        <f t="shared" si="10"/>
        <v>0.08359492531302196</v>
      </c>
      <c r="F44" s="9">
        <f t="shared" si="10"/>
        <v>0.09282311540947502</v>
      </c>
      <c r="G44" s="9">
        <f t="shared" si="10"/>
        <v>0.05302381137856716</v>
      </c>
      <c r="H44" s="9">
        <f t="shared" si="10"/>
        <v>0.04490313032558974</v>
      </c>
    </row>
    <row r="45" spans="1:8" ht="11.25">
      <c r="A45" s="6" t="s">
        <v>38</v>
      </c>
      <c r="B45" s="6"/>
      <c r="C45" s="9">
        <v>0.0736</v>
      </c>
      <c r="D45" s="9">
        <v>0.0449</v>
      </c>
      <c r="E45" s="9">
        <v>0.0275</v>
      </c>
      <c r="F45" s="9">
        <v>0</v>
      </c>
      <c r="G45" s="9">
        <v>0</v>
      </c>
      <c r="H45" s="9">
        <f>(5142/H11)</f>
        <v>0.05765091039555117</v>
      </c>
    </row>
    <row r="46" spans="1:8" ht="11.25">
      <c r="A46" s="2" t="s">
        <v>39</v>
      </c>
      <c r="B46" s="2"/>
      <c r="C46" s="11">
        <v>0.5769</v>
      </c>
      <c r="D46" s="11">
        <v>1.1299</v>
      </c>
      <c r="E46" s="11">
        <v>0.3288</v>
      </c>
      <c r="F46" s="11">
        <v>0.8325</v>
      </c>
      <c r="G46" s="11">
        <v>1.5685</v>
      </c>
      <c r="H46" s="11">
        <f>5142/(H40+H41)</f>
        <v>1.2838951310861424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C23/(C11+C14)</f>
        <v>0.22111900555763303</v>
      </c>
      <c r="D48" s="9">
        <f t="shared" si="11"/>
        <v>0.19137764760510054</v>
      </c>
      <c r="E48" s="9">
        <f t="shared" si="11"/>
        <v>0.2812068848528713</v>
      </c>
      <c r="F48" s="9">
        <f t="shared" si="11"/>
        <v>0.2797886152935013</v>
      </c>
      <c r="G48" s="9">
        <f t="shared" si="11"/>
        <v>0.2954322441369836</v>
      </c>
      <c r="H48" s="9">
        <f t="shared" si="11"/>
        <v>0.2838707507399767</v>
      </c>
    </row>
    <row r="49" spans="1:8" ht="11.25">
      <c r="A49" s="2" t="s">
        <v>42</v>
      </c>
      <c r="B49" s="2"/>
      <c r="C49" s="11">
        <f aca="true" t="shared" si="12" ref="C49:H49">C23/C9</f>
        <v>0.15352797400016116</v>
      </c>
      <c r="D49" s="11">
        <f t="shared" si="12"/>
        <v>0.14716444761832825</v>
      </c>
      <c r="E49" s="11">
        <f t="shared" si="12"/>
        <v>0.2316175785689003</v>
      </c>
      <c r="F49" s="11">
        <f t="shared" si="12"/>
        <v>0.23117677504352327</v>
      </c>
      <c r="G49" s="11">
        <f t="shared" si="12"/>
        <v>0.2045120698292478</v>
      </c>
      <c r="H49" s="11">
        <f t="shared" si="12"/>
        <v>0.19807704343472274</v>
      </c>
    </row>
    <row r="50" spans="1:8" ht="11.25">
      <c r="A50" s="4" t="s">
        <v>43</v>
      </c>
      <c r="B50" s="6"/>
      <c r="C50" s="12"/>
      <c r="D50" s="12"/>
      <c r="E50" s="12"/>
      <c r="F50" s="12"/>
      <c r="G50" s="12"/>
      <c r="H50" s="12"/>
    </row>
    <row r="51" spans="1:8" ht="11.25">
      <c r="A51" s="6" t="s">
        <v>44</v>
      </c>
      <c r="B51" s="6"/>
      <c r="C51" s="12">
        <f aca="true" t="shared" si="13" ref="C51:H51">C10/C15</f>
        <v>0.38258229424816076</v>
      </c>
      <c r="D51" s="12">
        <f t="shared" si="13"/>
        <v>0.24245250865517426</v>
      </c>
      <c r="E51" s="12">
        <f t="shared" si="13"/>
        <v>0.1751127022010077</v>
      </c>
      <c r="F51" s="12">
        <f t="shared" si="13"/>
        <v>0.1768031161672268</v>
      </c>
      <c r="G51" s="12">
        <f t="shared" si="13"/>
        <v>0.3441461054668602</v>
      </c>
      <c r="H51" s="12">
        <f t="shared" si="13"/>
        <v>0.3961160923909398</v>
      </c>
    </row>
    <row r="52" spans="1:8" ht="11.25">
      <c r="A52" s="6" t="s">
        <v>45</v>
      </c>
      <c r="B52" s="6"/>
      <c r="C52" s="12">
        <f aca="true" t="shared" si="14" ref="C52:H52">C10/C9</f>
        <v>0.2639914766368528</v>
      </c>
      <c r="D52" s="12">
        <f t="shared" si="14"/>
        <v>0.1856172708108739</v>
      </c>
      <c r="E52" s="12">
        <f t="shared" si="14"/>
        <v>0.12301831256170942</v>
      </c>
      <c r="F52" s="12">
        <f t="shared" si="14"/>
        <v>0.11831741401213947</v>
      </c>
      <c r="G52" s="12">
        <f t="shared" si="14"/>
        <v>0.24160036680733274</v>
      </c>
      <c r="H52" s="12">
        <f t="shared" si="14"/>
        <v>0.2771858179997497</v>
      </c>
    </row>
    <row r="53" spans="1:8" ht="11.25">
      <c r="A53" s="2" t="s">
        <v>46</v>
      </c>
      <c r="B53" s="2"/>
      <c r="C53" s="13">
        <f aca="true" t="shared" si="15" ref="C53:H53">(C10+C14)/C15</f>
        <v>0.41501991670018556</v>
      </c>
      <c r="D53" s="13">
        <f t="shared" si="15"/>
        <v>0.29561231994546794</v>
      </c>
      <c r="E53" s="13">
        <f t="shared" si="15"/>
        <v>0.22824184566428002</v>
      </c>
      <c r="F53" s="13">
        <f t="shared" si="15"/>
        <v>0.23665152644382884</v>
      </c>
      <c r="G53" s="13">
        <f t="shared" si="15"/>
        <v>0.39864537977745523</v>
      </c>
      <c r="H53" s="13">
        <f t="shared" si="15"/>
        <v>0.3961160923909398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9">
        <f>C38/C26</f>
        <v>-0.0871893838910227</v>
      </c>
      <c r="D55" s="9">
        <f>(D38/0.75)/D26</f>
        <v>-0.033920354929910614</v>
      </c>
      <c r="E55" s="9">
        <f>(E38/0.5)/E26</f>
        <v>0.018302534287769616</v>
      </c>
      <c r="F55" s="9">
        <f>((F38)/0.25)/F26</f>
        <v>0.02196992377311563</v>
      </c>
      <c r="G55" s="9">
        <f>G38/G26</f>
        <v>0.01944704779756326</v>
      </c>
      <c r="H55" s="9">
        <f>H38/H26</f>
        <v>0.020703134770475345</v>
      </c>
    </row>
    <row r="56" spans="1:8" ht="11.25">
      <c r="A56" s="6" t="s">
        <v>49</v>
      </c>
      <c r="B56" s="6"/>
      <c r="C56" s="9">
        <f>C38/C25</f>
        <v>-0.060444684615585755</v>
      </c>
      <c r="D56" s="9">
        <f>(D38/0.75)/D25</f>
        <v>-0.022406053772839944</v>
      </c>
      <c r="E56" s="9">
        <f>(E38/0.5)/E25</f>
        <v>0.014367510171586212</v>
      </c>
      <c r="F56" s="9">
        <f>((F38)/0.25)/F25</f>
        <v>0.0171385455590687</v>
      </c>
      <c r="G56" s="9">
        <f>G38/G25</f>
        <v>0.013518080432578574</v>
      </c>
      <c r="H56" s="9">
        <f>H38/H25</f>
        <v>0.014372534914295637</v>
      </c>
    </row>
    <row r="57" spans="1:8" ht="11.25">
      <c r="A57" s="6" t="s">
        <v>50</v>
      </c>
      <c r="B57" s="6"/>
      <c r="C57" s="9">
        <f>C38/C29</f>
        <v>-0.3363728961536596</v>
      </c>
      <c r="D57" s="9">
        <f>(D38/0.75)/D29</f>
        <v>-0.15325404905804793</v>
      </c>
      <c r="E57" s="9">
        <f>(E38/0.5)/E29</f>
        <v>0.06326817635188847</v>
      </c>
      <c r="F57" s="9">
        <f>((F38)/0.25)/F29</f>
        <v>0.07942388544311701</v>
      </c>
      <c r="G57" s="9">
        <f>G38/G29</f>
        <v>0.06719967614613906</v>
      </c>
      <c r="H57" s="9">
        <f>H38/H29</f>
        <v>0.11429811410084431</v>
      </c>
    </row>
    <row r="58" spans="1:8" ht="11.25">
      <c r="A58" s="6" t="s">
        <v>51</v>
      </c>
      <c r="B58" s="6"/>
      <c r="C58" s="9">
        <f>C31/C25</f>
        <v>0.09162141668046682</v>
      </c>
      <c r="D58" s="9">
        <f>(D31/0.75)/D25</f>
        <v>0.06586687273817517</v>
      </c>
      <c r="E58" s="9">
        <f>(E31/0.5)/E25</f>
        <v>0.09155584767847141</v>
      </c>
      <c r="F58" s="9">
        <f>((F31)/0.25)/F25</f>
        <v>0.0857286576602472</v>
      </c>
      <c r="G58" s="9">
        <f>G31/G25</f>
        <v>0.08746035171439391</v>
      </c>
      <c r="H58" s="9">
        <f>H31/H25</f>
        <v>0.08327834693523181</v>
      </c>
    </row>
    <row r="59" spans="1:8" ht="11.25">
      <c r="A59" s="6" t="s">
        <v>52</v>
      </c>
      <c r="B59" s="6"/>
      <c r="C59" s="9">
        <f>C32/C25</f>
        <v>0.052992600210924494</v>
      </c>
      <c r="D59" s="9">
        <f>(D32/0.75)/D25</f>
        <v>0.03539531525140302</v>
      </c>
      <c r="E59" s="9">
        <f>(E32/0.5)/E25</f>
        <v>0.0462685669056623</v>
      </c>
      <c r="F59" s="9">
        <f>((F32)/0.25)/F25</f>
        <v>0.042181661396953146</v>
      </c>
      <c r="G59" s="9">
        <f>G32/G25</f>
        <v>0.04412920353261644</v>
      </c>
      <c r="H59" s="9">
        <f>H32/H25</f>
        <v>0.05007317738694714</v>
      </c>
    </row>
    <row r="60" spans="1:8" ht="11.25">
      <c r="A60" s="6" t="s">
        <v>53</v>
      </c>
      <c r="B60" s="6"/>
      <c r="C60" s="9">
        <f>C33/C25</f>
        <v>0.03862881646954233</v>
      </c>
      <c r="D60" s="9">
        <f>(D33)/0.75/D25</f>
        <v>0.030471557486772154</v>
      </c>
      <c r="E60" s="9">
        <f>(E33/0.5)/E25</f>
        <v>0.045287280772809115</v>
      </c>
      <c r="F60" s="9">
        <f>((F33)/0.25)/F25</f>
        <v>0.04354699626329405</v>
      </c>
      <c r="G60" s="9">
        <f>G33/G25</f>
        <v>0.04333114818177747</v>
      </c>
      <c r="H60" s="9">
        <f>H33/H25</f>
        <v>0.033205169548284674</v>
      </c>
    </row>
    <row r="61" spans="1:8" ht="11.25">
      <c r="A61" s="6" t="s">
        <v>54</v>
      </c>
      <c r="B61" s="6"/>
      <c r="C61" s="9">
        <f>C36/C35</f>
        <v>0.9402824478816408</v>
      </c>
      <c r="D61" s="9">
        <f>(D36/0.75)/(D35/0.75)</f>
        <v>0.4632450331125828</v>
      </c>
      <c r="E61" s="9">
        <f>(E36/0.5)/(E35/0.5)</f>
        <v>0.674755523361101</v>
      </c>
      <c r="F61" s="9">
        <f>(F36/0.25)/(F35/0.25)</f>
        <v>0.6184971098265896</v>
      </c>
      <c r="G61" s="9">
        <f>G36/G35</f>
        <v>0.521048321048321</v>
      </c>
      <c r="H61" s="9">
        <f>H36/H35</f>
        <v>0.5209474086336432</v>
      </c>
    </row>
    <row r="62" spans="1:8" ht="11.25">
      <c r="A62" s="2" t="s">
        <v>55</v>
      </c>
      <c r="B62" s="2"/>
      <c r="C62" s="11">
        <f>C34/C25</f>
        <v>0.026173812242336555</v>
      </c>
      <c r="D62" s="11">
        <f>(D34/0.75)/D25</f>
        <v>0.020539586421238876</v>
      </c>
      <c r="E62" s="11">
        <f>(E34/0.5)/E25</f>
        <v>0.005832172299033063</v>
      </c>
      <c r="F62" s="11">
        <f>(F34/0.25)/F25</f>
        <v>0.006179936763437769</v>
      </c>
      <c r="G62" s="11">
        <f>G34/G25</f>
        <v>0.006384442806711808</v>
      </c>
      <c r="H62" s="11">
        <f>H34/H25</f>
        <v>0.005754967380249548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17</v>
      </c>
      <c r="D64" s="7">
        <v>30</v>
      </c>
      <c r="E64" s="7">
        <v>30</v>
      </c>
      <c r="F64" s="7">
        <v>29</v>
      </c>
      <c r="G64" s="7">
        <v>27</v>
      </c>
      <c r="H64" s="7">
        <v>33</v>
      </c>
    </row>
    <row r="65" spans="1:8" ht="11.25">
      <c r="A65" s="6" t="s">
        <v>58</v>
      </c>
      <c r="B65" s="6"/>
      <c r="C65" s="7">
        <v>2</v>
      </c>
      <c r="D65" s="7">
        <v>2</v>
      </c>
      <c r="E65" s="7">
        <v>2</v>
      </c>
      <c r="F65" s="7">
        <v>2</v>
      </c>
      <c r="G65" s="7">
        <v>2</v>
      </c>
      <c r="H65" s="7">
        <v>2</v>
      </c>
    </row>
    <row r="66" spans="1:8" ht="11.25">
      <c r="A66" s="6" t="s">
        <v>59</v>
      </c>
      <c r="B66" s="6"/>
      <c r="C66" s="7">
        <f aca="true" t="shared" si="16" ref="C66:H66">C11/C64</f>
        <v>4414.764705882353</v>
      </c>
      <c r="D66" s="7">
        <f t="shared" si="16"/>
        <v>3535.366666666667</v>
      </c>
      <c r="E66" s="7">
        <f t="shared" si="16"/>
        <v>2813.9666666666667</v>
      </c>
      <c r="F66" s="7">
        <f t="shared" si="16"/>
        <v>2880.896551724138</v>
      </c>
      <c r="G66" s="7">
        <f t="shared" si="16"/>
        <v>2852.6666666666665</v>
      </c>
      <c r="H66" s="7">
        <f t="shared" si="16"/>
        <v>2702.787878787879</v>
      </c>
    </row>
    <row r="67" spans="1:8" ht="11.25">
      <c r="A67" s="6" t="s">
        <v>60</v>
      </c>
      <c r="B67" s="6"/>
      <c r="C67" s="7">
        <f aca="true" t="shared" si="17" ref="C67:H67">C15/C64</f>
        <v>4533.588235294118</v>
      </c>
      <c r="D67" s="7">
        <f t="shared" si="17"/>
        <v>3716.4666666666667</v>
      </c>
      <c r="E67" s="7">
        <f t="shared" si="17"/>
        <v>2514</v>
      </c>
      <c r="F67" s="7">
        <f t="shared" si="17"/>
        <v>2452.1724137931033</v>
      </c>
      <c r="G67" s="7">
        <f t="shared" si="17"/>
        <v>3062.222222222222</v>
      </c>
      <c r="H67" s="7">
        <f t="shared" si="17"/>
        <v>2710.4848484848485</v>
      </c>
    </row>
    <row r="68" spans="1:8" ht="11.25">
      <c r="A68" s="2" t="s">
        <v>61</v>
      </c>
      <c r="B68" s="2"/>
      <c r="C68" s="8">
        <f aca="true" t="shared" si="18" ref="C68:H68">(C38/C64)</f>
        <v>-407.94117647058823</v>
      </c>
      <c r="D68" s="8">
        <f t="shared" si="18"/>
        <v>-88.43333333333334</v>
      </c>
      <c r="E68" s="8">
        <f t="shared" si="18"/>
        <v>25.866666666666667</v>
      </c>
      <c r="F68" s="8">
        <f t="shared" si="18"/>
        <v>16.448275862068964</v>
      </c>
      <c r="G68" s="8">
        <f t="shared" si="18"/>
        <v>61.48148148148148</v>
      </c>
      <c r="H68" s="8">
        <f t="shared" si="18"/>
        <v>87.78787878787878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(C9/170115)-1</f>
        <v>-0.34342650559915355</v>
      </c>
      <c r="D70" s="9">
        <f>(D9/560622)-1</f>
        <v>-0.7402296021205019</v>
      </c>
      <c r="E70" s="9">
        <f>(E9/108685)-1</f>
        <v>-0.012209596540460943</v>
      </c>
      <c r="F70" s="9">
        <f>(F9/116391)-1</f>
        <v>-0.08699985394059673</v>
      </c>
      <c r="G70" s="9">
        <f>(G9/H9)-1</f>
        <v>-0.07863155588934789</v>
      </c>
      <c r="H70" s="9">
        <f>(H9/275306)-1</f>
        <v>-0.5357020914909228</v>
      </c>
    </row>
    <row r="71" spans="1:8" ht="11.25">
      <c r="A71" s="6" t="s">
        <v>64</v>
      </c>
      <c r="B71" s="6"/>
      <c r="C71" s="9">
        <f>(C11/G11)-1</f>
        <v>-0.025590091142790317</v>
      </c>
      <c r="D71" s="9">
        <f>D11/92225-1</f>
        <v>0.15002439685551638</v>
      </c>
      <c r="E71" s="9">
        <f>E11/76814-1</f>
        <v>0.09900538964251315</v>
      </c>
      <c r="F71" s="9">
        <f>F11/85890-1</f>
        <v>-0.027290720689253645</v>
      </c>
      <c r="G71" s="9">
        <f>(G11/H11)-1</f>
        <v>-0.13644721499686074</v>
      </c>
      <c r="H71" s="9">
        <f>H11/190669-1</f>
        <v>-0.532215514845098</v>
      </c>
    </row>
    <row r="72" spans="1:8" ht="11.25">
      <c r="A72" s="6"/>
      <c r="B72" s="6" t="s">
        <v>13</v>
      </c>
      <c r="C72" s="9">
        <f>(C12/G12)-1</f>
        <v>-0.36090627337821957</v>
      </c>
      <c r="D72" s="9">
        <f>(D12/87620)-1</f>
        <v>-0.1472494864186259</v>
      </c>
      <c r="E72" s="9">
        <f>(E12/70990)-1</f>
        <v>0.022538385688125162</v>
      </c>
      <c r="F72" s="9">
        <f>(F12/72370)-1</f>
        <v>0.12320022108608542</v>
      </c>
      <c r="G72" s="9">
        <f>(G12/H12)-1</f>
        <v>0.09090909090909083</v>
      </c>
      <c r="H72" s="9">
        <f>(H12/94964)-1</f>
        <v>-0.2774314477064993</v>
      </c>
    </row>
    <row r="73" spans="1:8" ht="11.25">
      <c r="A73" s="6"/>
      <c r="B73" s="6" t="s">
        <v>14</v>
      </c>
      <c r="C73" s="9">
        <f>(C13/G13)-1</f>
        <v>11.562788550323177</v>
      </c>
      <c r="D73" s="9">
        <f>(D13/4604)-1</f>
        <v>5.807775847089488</v>
      </c>
      <c r="E73" s="9">
        <f>(E13/5824)-1</f>
        <v>1.0310782967032965</v>
      </c>
      <c r="F73" s="9">
        <f>(F13/13520)-1</f>
        <v>-0.8328402366863905</v>
      </c>
      <c r="G73" s="9">
        <f>(G13/H13)-1</f>
        <v>-0.89472149314669</v>
      </c>
      <c r="H73" s="9">
        <f>(H13/95704)-1</f>
        <v>-0.7850246593663797</v>
      </c>
    </row>
    <row r="74" spans="1:8" ht="11.25">
      <c r="A74" s="6" t="s">
        <v>65</v>
      </c>
      <c r="B74" s="6"/>
      <c r="C74" s="9">
        <f>(C15/G15)-1</f>
        <v>-0.06783986453797775</v>
      </c>
      <c r="D74" s="9">
        <f>D15/136423-1</f>
        <v>-0.1827331168497981</v>
      </c>
      <c r="E74" s="9">
        <f>E15/74361-1</f>
        <v>0.014241336184290132</v>
      </c>
      <c r="F74" s="9">
        <f>F15/83583-1</f>
        <v>-0.14919301771891413</v>
      </c>
      <c r="G74" s="9">
        <f>(G15/H15)-1</f>
        <v>-0.0756434049594169</v>
      </c>
      <c r="H74" s="9">
        <f>H15/238758-1</f>
        <v>-0.6253696211226429</v>
      </c>
    </row>
    <row r="75" spans="1:8" ht="11.25">
      <c r="A75" s="6"/>
      <c r="B75" s="6" t="s">
        <v>13</v>
      </c>
      <c r="C75" s="9">
        <f>(C16/G16)-1</f>
        <v>0.10230573172900237</v>
      </c>
      <c r="D75" s="9">
        <f>(D16/127399)-1</f>
        <v>-0.3326713710468685</v>
      </c>
      <c r="E75" s="9">
        <f>(E16/45231)-1</f>
        <v>-0.05757113484114873</v>
      </c>
      <c r="F75" s="9">
        <f>(F16/49089)-1</f>
        <v>-0.18975737945364546</v>
      </c>
      <c r="G75" s="9">
        <f>(G16/H16)-1</f>
        <v>-0.04287065052950079</v>
      </c>
      <c r="H75" s="9">
        <f>(H16/50141)-1</f>
        <v>0.05462595480744303</v>
      </c>
    </row>
    <row r="76" spans="1:8" ht="11.25">
      <c r="A76" s="6"/>
      <c r="B76" s="6" t="s">
        <v>14</v>
      </c>
      <c r="C76" s="9">
        <f>(C20/G20)-1</f>
        <v>-0.3363894346212617</v>
      </c>
      <c r="D76" s="9">
        <f>(D20/9024)-1</f>
        <v>1.9340647163120566</v>
      </c>
      <c r="E76" s="9">
        <f>(E20/29130)-1</f>
        <v>0.12574665293511833</v>
      </c>
      <c r="F76" s="9">
        <f>(F20/34494)-1</f>
        <v>-0.09146518235055368</v>
      </c>
      <c r="G76" s="9">
        <f>(G20/H20)-1</f>
        <v>-0.12303779467264675</v>
      </c>
      <c r="H76" s="9">
        <f>(H20/188617)-1</f>
        <v>-0.8061362443470101</v>
      </c>
    </row>
    <row r="77" spans="1:8" ht="11.25">
      <c r="A77" s="6" t="s">
        <v>66</v>
      </c>
      <c r="B77" s="6"/>
      <c r="C77" s="9">
        <f>(C23/G23)-1</f>
        <v>-0.2880511500456697</v>
      </c>
      <c r="D77" s="9">
        <f>(D23/24731)-1</f>
        <v>-0.13339533379159763</v>
      </c>
      <c r="E77" s="9">
        <f>(E23/23480)-1</f>
        <v>0.059028960817717246</v>
      </c>
      <c r="F77" s="9">
        <f>(F23/23480)-1</f>
        <v>0.046252129471890946</v>
      </c>
      <c r="G77" s="9">
        <f>(G23/H23)-1</f>
        <v>-0.04869860579011809</v>
      </c>
      <c r="H77" s="9">
        <f>(H23/25373)-1</f>
        <v>-0.0021282465613052803</v>
      </c>
    </row>
    <row r="78" spans="1:8" ht="11.25">
      <c r="A78" s="2" t="s">
        <v>67</v>
      </c>
      <c r="B78" s="2"/>
      <c r="C78" s="11">
        <f>(C38/G38)-1</f>
        <v>-5.177710843373494</v>
      </c>
      <c r="D78" s="11">
        <f>(D38/2305)-1</f>
        <v>-2.1509761388286335</v>
      </c>
      <c r="E78" s="11">
        <f>(E38/1769)-1</f>
        <v>-0.5613340870548332</v>
      </c>
      <c r="F78" s="11">
        <f>(F38/1058)-1</f>
        <v>-0.5491493383742911</v>
      </c>
      <c r="G78" s="11">
        <f>(G38/H38)-1</f>
        <v>-0.4269934414911978</v>
      </c>
      <c r="H78" s="11">
        <f>(H38/3095)-1</f>
        <v>-0.06397415185783517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 t="s">
        <v>68</v>
      </c>
      <c r="B80" s="6"/>
      <c r="C80" s="6"/>
      <c r="D80" s="6"/>
      <c r="E80" s="6"/>
      <c r="F80" s="6"/>
      <c r="G80" s="6"/>
      <c r="H80" s="6"/>
    </row>
    <row r="81" spans="1:8" ht="11.25">
      <c r="A81" s="6" t="s">
        <v>69</v>
      </c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2002-04-24T21:13:05Z</cp:lastPrinted>
  <dcterms:created xsi:type="dcterms:W3CDTF">2002-03-08T14:10:23Z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