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ancolombia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<sst xmlns="http://schemas.openxmlformats.org/spreadsheetml/2006/main" count="80" uniqueCount="68">
  <si>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18-31    BANCOLOMBIA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</si>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</sst>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8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6" sqref="E6"/>
    </sheetView>
  </sheetViews>
  <sheetFormatPr defaultColWidth="11.421875" defaultRowHeight="12.75"/>
  <cols>
    <col min="1" max="1" width="3.57421875" style="1" customWidth="1"/>
    <col min="2" max="2" width="33.140625" style="1" customWidth="1"/>
    <col min="3" max="3" width="11.00390625" style="1" customWidth="1"/>
    <col min="4" max="4" width="10.28125" style="1" customWidth="1"/>
    <col min="5" max="5" width="10.00390625" style="1" customWidth="1"/>
    <col min="6" max="6" width="9.7109375" style="1" customWidth="1"/>
    <col min="7" max="7" width="11.57421875" style="1" customWidth="1"/>
    <col min="8" max="16384" width="11.421875" style="1" customWidth="1"/>
  </cols>
  <sheetData>
    <row r="1" spans="2:8" ht="11.25">
      <c r="B1" s="15"/>
      <c r="C1" s="15"/>
      <c r="D1" s="15"/>
      <c r="E1" s="15"/>
      <c r="F1" s="15"/>
      <c r="G1" s="15"/>
      <c r="H1" s="15"/>
    </row>
    <row r="2" spans="2:8" ht="11.25">
      <c r="B2" s="15"/>
      <c r="C2" s="15"/>
      <c r="D2" s="15"/>
      <c r="E2" s="15"/>
      <c r="F2" s="15" t="s">
        <v>0</v>
      </c>
      <c r="G2" s="15"/>
      <c r="H2" s="15"/>
    </row>
    <row r="3" spans="2:8" ht="11.25">
      <c r="B3" s="16"/>
      <c r="C3" s="16"/>
      <c r="D3" s="16"/>
      <c r="E3" s="16"/>
      <c r="F3" s="15" t="s">
        <v>1</v>
      </c>
      <c r="G3" s="16"/>
      <c r="H3" s="16"/>
    </row>
    <row r="4" spans="1:8" ht="11.25">
      <c r="A4" s="16"/>
      <c r="B4" s="16"/>
      <c r="C4" s="16"/>
      <c r="D4" s="16"/>
      <c r="E4" s="16"/>
      <c r="F4" s="16" t="s">
        <v>2</v>
      </c>
      <c r="G4" s="16"/>
      <c r="H4" s="16"/>
    </row>
    <row r="5" spans="1:8" ht="11.25">
      <c r="A5" s="16"/>
      <c r="B5" s="16"/>
      <c r="C5" s="16"/>
      <c r="D5" s="16"/>
      <c r="E5" s="16"/>
      <c r="F5" s="16"/>
      <c r="G5" s="16"/>
      <c r="H5" s="16"/>
    </row>
    <row r="6" spans="1:8" ht="11.25">
      <c r="A6" s="16"/>
      <c r="B6" s="16"/>
      <c r="C6" s="16"/>
      <c r="D6" s="16"/>
      <c r="E6" s="16"/>
      <c r="F6" s="16"/>
      <c r="G6" s="16"/>
      <c r="H6" s="16"/>
    </row>
    <row r="7" spans="1:8" ht="11.25">
      <c r="A7" s="17"/>
      <c r="B7" s="17"/>
      <c r="C7" s="17"/>
      <c r="D7" s="17"/>
      <c r="E7" s="17"/>
      <c r="F7" s="17"/>
      <c r="G7" s="17"/>
      <c r="H7" s="17"/>
    </row>
    <row r="8" spans="1:8" ht="11.25">
      <c r="A8" s="3"/>
      <c r="B8" s="3"/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</row>
    <row r="9" spans="1:8" ht="11.25">
      <c r="A9" s="4" t="s">
        <v>9</v>
      </c>
      <c r="B9" s="4"/>
      <c r="C9" s="5"/>
      <c r="D9" s="5"/>
      <c r="E9" s="5"/>
      <c r="F9" s="5"/>
      <c r="G9" s="5"/>
      <c r="H9" s="5"/>
    </row>
    <row r="10" spans="1:8" ht="11.25">
      <c r="A10" s="6" t="s">
        <v>10</v>
      </c>
      <c r="B10" s="6"/>
      <c r="C10" s="7">
        <v>14766</v>
      </c>
      <c r="D10" s="7">
        <v>15524</v>
      </c>
      <c r="E10" s="7">
        <v>15656</v>
      </c>
      <c r="F10" s="7">
        <v>19054</v>
      </c>
      <c r="G10" s="7">
        <v>16802</v>
      </c>
      <c r="H10" s="7">
        <v>55216</v>
      </c>
    </row>
    <row r="11" spans="1:8" ht="11.25">
      <c r="A11" s="6" t="s">
        <v>11</v>
      </c>
      <c r="B11" s="6"/>
      <c r="C11" s="7">
        <v>3700</v>
      </c>
      <c r="D11" s="7">
        <v>4205</v>
      </c>
      <c r="E11" s="7">
        <v>3162</v>
      </c>
      <c r="F11" s="7">
        <v>11487</v>
      </c>
      <c r="G11" s="7">
        <v>6449</v>
      </c>
      <c r="H11" s="7">
        <v>32319</v>
      </c>
    </row>
    <row r="12" spans="1:8" ht="11.25">
      <c r="A12" s="6" t="s">
        <v>12</v>
      </c>
      <c r="B12" s="6"/>
      <c r="C12" s="7">
        <f aca="true" t="shared" si="0" ref="C12:H12">C13+C14</f>
        <v>3960</v>
      </c>
      <c r="D12" s="7">
        <f t="shared" si="0"/>
        <v>4357</v>
      </c>
      <c r="E12" s="7">
        <f t="shared" si="0"/>
        <v>3939</v>
      </c>
      <c r="F12" s="7">
        <f t="shared" si="0"/>
        <v>4153</v>
      </c>
      <c r="G12" s="7">
        <f t="shared" si="0"/>
        <v>3959</v>
      </c>
      <c r="H12" s="7">
        <f t="shared" si="0"/>
        <v>8618</v>
      </c>
    </row>
    <row r="13" spans="1:8" ht="11.25">
      <c r="A13" s="6"/>
      <c r="B13" s="6" t="s">
        <v>13</v>
      </c>
      <c r="C13" s="7">
        <v>3960</v>
      </c>
      <c r="D13" s="7">
        <v>4357</v>
      </c>
      <c r="E13" s="7">
        <v>3939</v>
      </c>
      <c r="F13" s="7">
        <v>4153</v>
      </c>
      <c r="G13" s="7">
        <v>3959</v>
      </c>
      <c r="H13" s="7">
        <v>6052</v>
      </c>
    </row>
    <row r="14" spans="1:8" ht="11.25">
      <c r="A14" s="6"/>
      <c r="B14" s="6" t="s">
        <v>14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2566</v>
      </c>
    </row>
    <row r="15" spans="1:8" ht="11.25">
      <c r="A15" s="6" t="s">
        <v>15</v>
      </c>
      <c r="B15" s="6"/>
      <c r="C15" s="7">
        <v>2605</v>
      </c>
      <c r="D15" s="7">
        <v>2605</v>
      </c>
      <c r="E15" s="7">
        <v>2605</v>
      </c>
      <c r="F15" s="7">
        <v>2606</v>
      </c>
      <c r="G15" s="7">
        <v>2605</v>
      </c>
      <c r="H15" s="7">
        <v>12605</v>
      </c>
    </row>
    <row r="16" spans="1:8" ht="11.25">
      <c r="A16" s="6" t="s">
        <v>16</v>
      </c>
      <c r="B16" s="6"/>
      <c r="C16" s="7">
        <f aca="true" t="shared" si="1" ref="C16:H16">C17+C21</f>
        <v>2365</v>
      </c>
      <c r="D16" s="7">
        <f t="shared" si="1"/>
        <v>2439</v>
      </c>
      <c r="E16" s="7">
        <f t="shared" si="1"/>
        <v>2550</v>
      </c>
      <c r="F16" s="7">
        <f t="shared" si="1"/>
        <v>2478</v>
      </c>
      <c r="G16" s="7">
        <f t="shared" si="1"/>
        <v>2412</v>
      </c>
      <c r="H16" s="7">
        <f t="shared" si="1"/>
        <v>22047</v>
      </c>
    </row>
    <row r="17" spans="1:8" ht="11.25">
      <c r="A17" s="6"/>
      <c r="B17" s="6" t="s">
        <v>13</v>
      </c>
      <c r="C17" s="7">
        <f aca="true" t="shared" si="2" ref="C17:H17">SUM(C18:C20)</f>
        <v>2365</v>
      </c>
      <c r="D17" s="7">
        <f t="shared" si="2"/>
        <v>2439</v>
      </c>
      <c r="E17" s="7">
        <f t="shared" si="2"/>
        <v>2510</v>
      </c>
      <c r="F17" s="7">
        <f t="shared" si="2"/>
        <v>2478</v>
      </c>
      <c r="G17" s="7">
        <f t="shared" si="2"/>
        <v>2395</v>
      </c>
      <c r="H17" s="7">
        <f t="shared" si="2"/>
        <v>14787</v>
      </c>
    </row>
    <row r="18" spans="1:8" ht="11.25">
      <c r="A18" s="6"/>
      <c r="B18" s="6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1.25">
      <c r="A19" s="6"/>
      <c r="B19" s="6" t="s">
        <v>18</v>
      </c>
      <c r="C19" s="7">
        <v>2365</v>
      </c>
      <c r="D19" s="7">
        <v>2439</v>
      </c>
      <c r="E19" s="7">
        <v>2510</v>
      </c>
      <c r="F19" s="7">
        <v>2478</v>
      </c>
      <c r="G19" s="7">
        <v>2395</v>
      </c>
      <c r="H19" s="7">
        <v>5487</v>
      </c>
    </row>
    <row r="20" spans="1:8" ht="11.25">
      <c r="A20" s="6"/>
      <c r="B20" s="6" t="s">
        <v>19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9300</v>
      </c>
    </row>
    <row r="21" spans="1:8" ht="11.25">
      <c r="A21" s="6"/>
      <c r="B21" s="6" t="s">
        <v>14</v>
      </c>
      <c r="C21" s="7">
        <f aca="true" t="shared" si="3" ref="C21:H21">SUM(C22:C23)</f>
        <v>0</v>
      </c>
      <c r="D21" s="7">
        <f t="shared" si="3"/>
        <v>0</v>
      </c>
      <c r="E21" s="7">
        <f t="shared" si="3"/>
        <v>40</v>
      </c>
      <c r="F21" s="7">
        <f t="shared" si="3"/>
        <v>0</v>
      </c>
      <c r="G21" s="7">
        <f t="shared" si="3"/>
        <v>17</v>
      </c>
      <c r="H21" s="7">
        <f t="shared" si="3"/>
        <v>7260</v>
      </c>
    </row>
    <row r="22" spans="1:8" ht="11.25">
      <c r="A22" s="6"/>
      <c r="B22" s="6" t="s">
        <v>18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17</v>
      </c>
    </row>
    <row r="23" spans="1:8" ht="11.25">
      <c r="A23" s="6"/>
      <c r="B23" s="6" t="s">
        <v>19</v>
      </c>
      <c r="C23" s="7">
        <v>0</v>
      </c>
      <c r="D23" s="7">
        <v>0</v>
      </c>
      <c r="E23" s="7">
        <v>40</v>
      </c>
      <c r="F23" s="7">
        <v>0</v>
      </c>
      <c r="G23" s="7">
        <v>17</v>
      </c>
      <c r="H23" s="7">
        <v>7243</v>
      </c>
    </row>
    <row r="24" spans="1:8" ht="11.25">
      <c r="A24" s="2" t="s">
        <v>20</v>
      </c>
      <c r="B24" s="2"/>
      <c r="C24" s="8">
        <v>11243</v>
      </c>
      <c r="D24" s="8">
        <v>11420</v>
      </c>
      <c r="E24" s="8">
        <v>11566</v>
      </c>
      <c r="F24" s="8">
        <v>11692</v>
      </c>
      <c r="G24" s="8">
        <v>11071</v>
      </c>
      <c r="H24" s="8">
        <v>13065</v>
      </c>
    </row>
    <row r="25" spans="1:8" ht="11.25">
      <c r="A25" s="4" t="s">
        <v>21</v>
      </c>
      <c r="B25" s="6"/>
      <c r="C25" s="7"/>
      <c r="D25" s="7"/>
      <c r="E25" s="7"/>
      <c r="F25" s="7"/>
      <c r="G25" s="7"/>
      <c r="H25" s="7"/>
    </row>
    <row r="26" spans="1:8" ht="11.25">
      <c r="A26" s="6" t="s">
        <v>10</v>
      </c>
      <c r="B26" s="6"/>
      <c r="C26" s="7">
        <f>(14766+16802)/2</f>
        <v>15784</v>
      </c>
      <c r="D26" s="7">
        <f>(D10+28269)/2</f>
        <v>21896.5</v>
      </c>
      <c r="E26" s="7">
        <f>(E10+29181)/2</f>
        <v>22418.5</v>
      </c>
      <c r="F26" s="7">
        <f>(F10+36756)/2</f>
        <v>27905</v>
      </c>
      <c r="G26" s="7">
        <f>(G10+H10)/2</f>
        <v>36009</v>
      </c>
      <c r="H26" s="7">
        <f>(H10+334422)/2</f>
        <v>194819</v>
      </c>
    </row>
    <row r="27" spans="1:8" ht="11.25">
      <c r="A27" s="6" t="s">
        <v>22</v>
      </c>
      <c r="B27" s="6"/>
      <c r="C27" s="7">
        <f aca="true" t="shared" si="4" ref="C27:H27">C28+C29</f>
        <v>6564.5</v>
      </c>
      <c r="D27" s="7">
        <f t="shared" si="4"/>
        <v>6879</v>
      </c>
      <c r="E27" s="7">
        <f t="shared" si="4"/>
        <v>7121.5</v>
      </c>
      <c r="F27" s="7">
        <f t="shared" si="4"/>
        <v>12622</v>
      </c>
      <c r="G27" s="7">
        <f t="shared" si="4"/>
        <v>13893.5</v>
      </c>
      <c r="H27" s="7">
        <f t="shared" si="4"/>
        <v>124882</v>
      </c>
    </row>
    <row r="28" spans="1:8" ht="11.25">
      <c r="A28" s="6"/>
      <c r="B28" s="6" t="s">
        <v>12</v>
      </c>
      <c r="C28" s="7">
        <f>(C12+G12)/2</f>
        <v>3959.5</v>
      </c>
      <c r="D28" s="7">
        <f>(D12+4191)/2</f>
        <v>4274</v>
      </c>
      <c r="E28" s="7">
        <f>(E12+5094)/2</f>
        <v>4516.5</v>
      </c>
      <c r="F28" s="7">
        <f>(F12+5633)/2</f>
        <v>4893</v>
      </c>
      <c r="G28" s="7">
        <f>(G12+H12)/2</f>
        <v>6288.5</v>
      </c>
      <c r="H28" s="7">
        <f>(H12+167489)/2</f>
        <v>88053.5</v>
      </c>
    </row>
    <row r="29" spans="1:8" ht="11.25">
      <c r="A29" s="6"/>
      <c r="B29" s="6" t="s">
        <v>15</v>
      </c>
      <c r="C29" s="7">
        <f>(C15+G15)/2</f>
        <v>2605</v>
      </c>
      <c r="D29" s="7">
        <f>(D15+2605)/2</f>
        <v>2605</v>
      </c>
      <c r="E29" s="7">
        <f>(E15+2605)/2</f>
        <v>2605</v>
      </c>
      <c r="F29" s="7">
        <f>(F15+12852)/2</f>
        <v>7729</v>
      </c>
      <c r="G29" s="7">
        <f>(G15+H15)/2</f>
        <v>7605</v>
      </c>
      <c r="H29" s="7">
        <f>(H15+61052)/2</f>
        <v>36828.5</v>
      </c>
    </row>
    <row r="30" spans="1:8" ht="11.25">
      <c r="A30" s="2" t="s">
        <v>20</v>
      </c>
      <c r="B30" s="2"/>
      <c r="C30" s="8">
        <f>(C24+G24)/2</f>
        <v>11157</v>
      </c>
      <c r="D30" s="8">
        <f>(D24+11294)/2</f>
        <v>11357</v>
      </c>
      <c r="E30" s="8">
        <f>(E24+11557)/2</f>
        <v>11561.5</v>
      </c>
      <c r="F30" s="8">
        <f>(F24+12557)/2</f>
        <v>12124.5</v>
      </c>
      <c r="G30" s="8">
        <f>(G24+H24)/2</f>
        <v>12068</v>
      </c>
      <c r="H30" s="8">
        <f>(H24+17653)/2</f>
        <v>15359</v>
      </c>
    </row>
    <row r="31" spans="1:8" ht="11.25">
      <c r="A31" s="4" t="s">
        <v>23</v>
      </c>
      <c r="B31" s="6"/>
      <c r="C31" s="6"/>
      <c r="D31" s="6"/>
      <c r="E31" s="6"/>
      <c r="F31" s="6"/>
      <c r="G31" s="6"/>
      <c r="H31" s="6"/>
    </row>
    <row r="32" spans="1:8" ht="11.25">
      <c r="A32" s="6" t="s">
        <v>24</v>
      </c>
      <c r="B32" s="6"/>
      <c r="C32" s="7">
        <f>146+D32</f>
        <v>722</v>
      </c>
      <c r="D32" s="7">
        <f>142+E32</f>
        <v>576</v>
      </c>
      <c r="E32" s="7">
        <f>221+F32</f>
        <v>434</v>
      </c>
      <c r="F32" s="7">
        <v>213</v>
      </c>
      <c r="G32" s="7">
        <v>874</v>
      </c>
      <c r="H32" s="7">
        <v>2553</v>
      </c>
    </row>
    <row r="33" spans="1:8" ht="11.25">
      <c r="A33" s="6" t="s">
        <v>25</v>
      </c>
      <c r="B33" s="6"/>
      <c r="C33" s="7">
        <f>38+D33</f>
        <v>144</v>
      </c>
      <c r="D33" s="7">
        <f>35+E33</f>
        <v>106</v>
      </c>
      <c r="E33" s="7">
        <f>36+F33</f>
        <v>71</v>
      </c>
      <c r="F33" s="7">
        <v>35</v>
      </c>
      <c r="G33" s="7">
        <v>823</v>
      </c>
      <c r="H33" s="7">
        <v>2403</v>
      </c>
    </row>
    <row r="34" spans="1:8" ht="11.25">
      <c r="A34" s="6" t="s">
        <v>26</v>
      </c>
      <c r="B34" s="6"/>
      <c r="C34" s="7">
        <f aca="true" t="shared" si="5" ref="C34:H34">C32-C33</f>
        <v>578</v>
      </c>
      <c r="D34" s="7">
        <f t="shared" si="5"/>
        <v>470</v>
      </c>
      <c r="E34" s="7">
        <f t="shared" si="5"/>
        <v>363</v>
      </c>
      <c r="F34" s="7">
        <f t="shared" si="5"/>
        <v>178</v>
      </c>
      <c r="G34" s="7">
        <f t="shared" si="5"/>
        <v>51</v>
      </c>
      <c r="H34" s="7">
        <f t="shared" si="5"/>
        <v>150</v>
      </c>
    </row>
    <row r="35" spans="1:8" ht="11.25">
      <c r="A35" s="6" t="s">
        <v>27</v>
      </c>
      <c r="B35" s="6"/>
      <c r="C35" s="7">
        <f>10+D35</f>
        <v>37</v>
      </c>
      <c r="D35" s="7">
        <f>11+E35</f>
        <v>27</v>
      </c>
      <c r="E35" s="7">
        <f>8+F35</f>
        <v>16</v>
      </c>
      <c r="F35" s="7">
        <v>8</v>
      </c>
      <c r="G35" s="7">
        <v>124</v>
      </c>
      <c r="H35" s="7">
        <v>1868</v>
      </c>
    </row>
    <row r="36" spans="1:8" ht="11.25">
      <c r="A36" s="6" t="s">
        <v>28</v>
      </c>
      <c r="B36" s="6"/>
      <c r="C36" s="7">
        <f aca="true" t="shared" si="6" ref="C36:H36">C34+C35</f>
        <v>615</v>
      </c>
      <c r="D36" s="7">
        <f t="shared" si="6"/>
        <v>497</v>
      </c>
      <c r="E36" s="7">
        <f t="shared" si="6"/>
        <v>379</v>
      </c>
      <c r="F36" s="7">
        <f t="shared" si="6"/>
        <v>186</v>
      </c>
      <c r="G36" s="7">
        <f t="shared" si="6"/>
        <v>175</v>
      </c>
      <c r="H36" s="7">
        <f t="shared" si="6"/>
        <v>2018</v>
      </c>
    </row>
    <row r="37" spans="1:8" ht="11.25">
      <c r="A37" s="6" t="s">
        <v>29</v>
      </c>
      <c r="B37" s="6"/>
      <c r="C37" s="7">
        <f>292+D37</f>
        <v>1364</v>
      </c>
      <c r="D37" s="7">
        <f>446+E37</f>
        <v>1072</v>
      </c>
      <c r="E37" s="7">
        <f>315+F37</f>
        <v>626</v>
      </c>
      <c r="F37" s="7">
        <v>311</v>
      </c>
      <c r="G37" s="7">
        <v>1099</v>
      </c>
      <c r="H37" s="7">
        <v>954</v>
      </c>
    </row>
    <row r="38" spans="1:8" ht="11.25">
      <c r="A38" s="6" t="s">
        <v>30</v>
      </c>
      <c r="B38" s="6"/>
      <c r="C38" s="7">
        <f aca="true" t="shared" si="7" ref="C38:H38">C36-C37</f>
        <v>-749</v>
      </c>
      <c r="D38" s="7">
        <f t="shared" si="7"/>
        <v>-575</v>
      </c>
      <c r="E38" s="7">
        <f t="shared" si="7"/>
        <v>-247</v>
      </c>
      <c r="F38" s="7">
        <f t="shared" si="7"/>
        <v>-125</v>
      </c>
      <c r="G38" s="7">
        <f t="shared" si="7"/>
        <v>-924</v>
      </c>
      <c r="H38" s="7">
        <f t="shared" si="7"/>
        <v>1064</v>
      </c>
    </row>
    <row r="39" spans="1:8" ht="11.25">
      <c r="A39" s="2" t="s">
        <v>31</v>
      </c>
      <c r="B39" s="2"/>
      <c r="C39" s="8">
        <f>-174+D39</f>
        <v>-749</v>
      </c>
      <c r="D39" s="8">
        <f>-146+E39</f>
        <v>-575</v>
      </c>
      <c r="E39" s="8">
        <f>-122+F39</f>
        <v>-429</v>
      </c>
      <c r="F39" s="8">
        <v>-307</v>
      </c>
      <c r="G39" s="8">
        <v>-924</v>
      </c>
      <c r="H39" s="8">
        <v>1064</v>
      </c>
    </row>
    <row r="40" spans="1:8" ht="11.25">
      <c r="A40" s="4" t="s">
        <v>32</v>
      </c>
      <c r="B40" s="6"/>
      <c r="C40" s="7"/>
      <c r="D40" s="7"/>
      <c r="E40" s="7"/>
      <c r="F40" s="7"/>
      <c r="G40" s="7"/>
      <c r="H40" s="7"/>
    </row>
    <row r="41" spans="1:8" ht="11.25">
      <c r="A41" s="6" t="s">
        <v>33</v>
      </c>
      <c r="B41" s="6"/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1:8" ht="11.25">
      <c r="A42" s="6" t="s">
        <v>34</v>
      </c>
      <c r="B42" s="6"/>
      <c r="C42" s="7">
        <v>87</v>
      </c>
      <c r="D42" s="7">
        <v>14</v>
      </c>
      <c r="E42" s="7">
        <v>15</v>
      </c>
      <c r="F42" s="7">
        <v>29</v>
      </c>
      <c r="G42" s="7">
        <v>28</v>
      </c>
      <c r="H42" s="7">
        <v>221</v>
      </c>
    </row>
    <row r="43" spans="1:8" ht="11.25">
      <c r="A43" s="6" t="s">
        <v>35</v>
      </c>
      <c r="B43" s="6"/>
      <c r="C43" s="9">
        <f aca="true" t="shared" si="8" ref="C43:H43">C41/C12</f>
        <v>0</v>
      </c>
      <c r="D43" s="9">
        <f t="shared" si="8"/>
        <v>0</v>
      </c>
      <c r="E43" s="9">
        <f t="shared" si="8"/>
        <v>0</v>
      </c>
      <c r="F43" s="9">
        <f t="shared" si="8"/>
        <v>0</v>
      </c>
      <c r="G43" s="9">
        <f t="shared" si="8"/>
        <v>0</v>
      </c>
      <c r="H43" s="9">
        <f t="shared" si="8"/>
        <v>0</v>
      </c>
    </row>
    <row r="44" spans="1:8" ht="11.25">
      <c r="A44" s="6" t="s">
        <v>36</v>
      </c>
      <c r="B44" s="6"/>
      <c r="C44" s="9">
        <f aca="true" t="shared" si="9" ref="C44:H44">(C42)/C12</f>
        <v>0.02196969696969697</v>
      </c>
      <c r="D44" s="9">
        <f t="shared" si="9"/>
        <v>0.003213220105577232</v>
      </c>
      <c r="E44" s="9">
        <f t="shared" si="9"/>
        <v>0.003808073115003808</v>
      </c>
      <c r="F44" s="9">
        <f t="shared" si="9"/>
        <v>0.006982903924873585</v>
      </c>
      <c r="G44" s="9">
        <f t="shared" si="9"/>
        <v>0.007072493053801465</v>
      </c>
      <c r="H44" s="9">
        <f t="shared" si="9"/>
        <v>0.025644000928289626</v>
      </c>
    </row>
    <row r="45" spans="1:8" ht="11.25">
      <c r="A45" s="10" t="s">
        <v>37</v>
      </c>
      <c r="B45" s="6"/>
      <c r="C45" s="9">
        <f aca="true" t="shared" si="10" ref="C45:H45">(C41+C42)/C12</f>
        <v>0.02196969696969697</v>
      </c>
      <c r="D45" s="9">
        <f t="shared" si="10"/>
        <v>0.003213220105577232</v>
      </c>
      <c r="E45" s="9">
        <f t="shared" si="10"/>
        <v>0.003808073115003808</v>
      </c>
      <c r="F45" s="9">
        <f t="shared" si="10"/>
        <v>0.006982903924873585</v>
      </c>
      <c r="G45" s="9">
        <f t="shared" si="10"/>
        <v>0.007072493053801465</v>
      </c>
      <c r="H45" s="9">
        <f t="shared" si="10"/>
        <v>0.025644000928289626</v>
      </c>
    </row>
    <row r="46" spans="1:8" ht="11.25">
      <c r="A46" s="6" t="s">
        <v>38</v>
      </c>
      <c r="B46" s="6"/>
      <c r="C46" s="9">
        <v>0</v>
      </c>
      <c r="D46" s="9">
        <v>0</v>
      </c>
      <c r="E46" s="9">
        <v>0.0004</v>
      </c>
      <c r="F46" s="9">
        <v>0</v>
      </c>
      <c r="G46" s="9">
        <v>0</v>
      </c>
      <c r="H46" s="9">
        <f>(0/H12)</f>
        <v>0</v>
      </c>
    </row>
    <row r="47" spans="1:8" ht="11.25">
      <c r="A47" s="2" t="s">
        <v>39</v>
      </c>
      <c r="B47" s="2"/>
      <c r="C47" s="11">
        <v>0</v>
      </c>
      <c r="D47" s="11">
        <v>0</v>
      </c>
      <c r="E47" s="11">
        <v>0.0985</v>
      </c>
      <c r="F47" s="11">
        <v>0</v>
      </c>
      <c r="G47" s="11">
        <v>0</v>
      </c>
      <c r="H47" s="12">
        <f>0/(H41+H42)</f>
        <v>0</v>
      </c>
    </row>
    <row r="48" spans="1:8" ht="11.25">
      <c r="A48" s="4" t="s">
        <v>40</v>
      </c>
      <c r="B48" s="6"/>
      <c r="C48" s="6"/>
      <c r="D48" s="6"/>
      <c r="E48" s="6"/>
      <c r="F48" s="6"/>
      <c r="G48" s="6"/>
      <c r="H48" s="6"/>
    </row>
    <row r="49" spans="1:8" ht="11.25">
      <c r="A49" s="6" t="s">
        <v>41</v>
      </c>
      <c r="B49" s="6"/>
      <c r="C49" s="9">
        <f aca="true" t="shared" si="11" ref="C49:H49">C24/(C12+C15)</f>
        <v>1.7125666412795126</v>
      </c>
      <c r="D49" s="9">
        <f t="shared" si="11"/>
        <v>1.6403332375754094</v>
      </c>
      <c r="E49" s="9">
        <f t="shared" si="11"/>
        <v>1.7674205378973105</v>
      </c>
      <c r="F49" s="9">
        <f t="shared" si="11"/>
        <v>1.7298416925580706</v>
      </c>
      <c r="G49" s="9">
        <f t="shared" si="11"/>
        <v>1.6866240097501524</v>
      </c>
      <c r="H49" s="9">
        <f t="shared" si="11"/>
        <v>0.6156057107854686</v>
      </c>
    </row>
    <row r="50" spans="1:8" ht="11.25">
      <c r="A50" s="2" t="s">
        <v>42</v>
      </c>
      <c r="B50" s="2"/>
      <c r="C50" s="11">
        <f aca="true" t="shared" si="12" ref="C50:H50">C24/C10</f>
        <v>0.7614113503995665</v>
      </c>
      <c r="D50" s="11">
        <f t="shared" si="12"/>
        <v>0.7356351455810358</v>
      </c>
      <c r="E50" s="11">
        <f t="shared" si="12"/>
        <v>0.7387583035258048</v>
      </c>
      <c r="F50" s="11">
        <f t="shared" si="12"/>
        <v>0.6136244358140023</v>
      </c>
      <c r="G50" s="11">
        <f t="shared" si="12"/>
        <v>0.6589096536126652</v>
      </c>
      <c r="H50" s="11">
        <f t="shared" si="12"/>
        <v>0.2366161982034193</v>
      </c>
    </row>
    <row r="51" spans="1:8" ht="11.25">
      <c r="A51" s="4" t="s">
        <v>43</v>
      </c>
      <c r="B51" s="6"/>
      <c r="C51" s="13"/>
      <c r="D51" s="13"/>
      <c r="E51" s="13"/>
      <c r="F51" s="13"/>
      <c r="G51" s="13"/>
      <c r="H51" s="13"/>
    </row>
    <row r="52" spans="1:8" ht="11.25">
      <c r="A52" s="6" t="s">
        <v>44</v>
      </c>
      <c r="B52" s="6"/>
      <c r="C52" s="13">
        <f aca="true" t="shared" si="13" ref="C52:H52">C11/C16</f>
        <v>1.5644820295983086</v>
      </c>
      <c r="D52" s="13">
        <f t="shared" si="13"/>
        <v>1.7240672406724067</v>
      </c>
      <c r="E52" s="13">
        <f t="shared" si="13"/>
        <v>1.24</v>
      </c>
      <c r="F52" s="13">
        <f t="shared" si="13"/>
        <v>4.635593220338983</v>
      </c>
      <c r="G52" s="13">
        <f t="shared" si="13"/>
        <v>2.673714759535655</v>
      </c>
      <c r="H52" s="13">
        <f t="shared" si="13"/>
        <v>1.465913729759151</v>
      </c>
    </row>
    <row r="53" spans="1:8" ht="11.25">
      <c r="A53" s="6" t="s">
        <v>45</v>
      </c>
      <c r="B53" s="6"/>
      <c r="C53" s="13">
        <f aca="true" t="shared" si="14" ref="C53:H53">C11/C10</f>
        <v>0.2505756467560612</v>
      </c>
      <c r="D53" s="13">
        <f t="shared" si="14"/>
        <v>0.2708709095593919</v>
      </c>
      <c r="E53" s="13">
        <f t="shared" si="14"/>
        <v>0.20196729688298415</v>
      </c>
      <c r="F53" s="13">
        <f t="shared" si="14"/>
        <v>0.6028655400440852</v>
      </c>
      <c r="G53" s="13">
        <f t="shared" si="14"/>
        <v>0.38382335436257586</v>
      </c>
      <c r="H53" s="13">
        <f t="shared" si="14"/>
        <v>0.5853194726166329</v>
      </c>
    </row>
    <row r="54" spans="1:8" ht="11.25">
      <c r="A54" s="2" t="s">
        <v>46</v>
      </c>
      <c r="B54" s="2"/>
      <c r="C54" s="14">
        <f aca="true" t="shared" si="15" ref="C54:H54">(C11+C15)/C16</f>
        <v>2.6659619450317127</v>
      </c>
      <c r="D54" s="14">
        <f t="shared" si="15"/>
        <v>2.7921279212792127</v>
      </c>
      <c r="E54" s="14">
        <f t="shared" si="15"/>
        <v>2.2615686274509805</v>
      </c>
      <c r="F54" s="14">
        <f t="shared" si="15"/>
        <v>5.68724778046812</v>
      </c>
      <c r="G54" s="14">
        <f t="shared" si="15"/>
        <v>3.753731343283582</v>
      </c>
      <c r="H54" s="14">
        <f t="shared" si="15"/>
        <v>2.037646845375788</v>
      </c>
    </row>
    <row r="55" spans="1:8" ht="11.25">
      <c r="A55" s="4" t="s">
        <v>47</v>
      </c>
      <c r="B55" s="6"/>
      <c r="C55" s="6"/>
      <c r="D55" s="6"/>
      <c r="E55" s="6"/>
      <c r="F55" s="6"/>
      <c r="G55" s="6"/>
      <c r="H55" s="6"/>
    </row>
    <row r="56" spans="1:8" ht="11.25">
      <c r="A56" s="6" t="s">
        <v>48</v>
      </c>
      <c r="B56" s="6"/>
      <c r="C56" s="9">
        <f>C39/C27</f>
        <v>-0.11409856043872343</v>
      </c>
      <c r="D56" s="9">
        <f>(D39/0.75)/D27</f>
        <v>-0.11145030769976255</v>
      </c>
      <c r="E56" s="9">
        <f>(E39/0.5)/E27</f>
        <v>-0.12048023590535702</v>
      </c>
      <c r="F56" s="9">
        <f>((F39)/0.25)/F27</f>
        <v>-0.09729044525431786</v>
      </c>
      <c r="G56" s="9">
        <f>G39/G27</f>
        <v>-0.06650592003454853</v>
      </c>
      <c r="H56" s="9">
        <f>H39/H27</f>
        <v>0.008520042920516968</v>
      </c>
    </row>
    <row r="57" spans="1:8" ht="11.25">
      <c r="A57" s="6" t="s">
        <v>49</v>
      </c>
      <c r="B57" s="6"/>
      <c r="C57" s="9">
        <f>C39/C26</f>
        <v>-0.047453117080587935</v>
      </c>
      <c r="D57" s="9">
        <f>(D39/0.75)/D26</f>
        <v>-0.03501320606794084</v>
      </c>
      <c r="E57" s="9">
        <f>(E39/0.5)/E26</f>
        <v>-0.03827196288779356</v>
      </c>
      <c r="F57" s="9">
        <f>((F39)/0.25)/F26</f>
        <v>-0.04400645045690736</v>
      </c>
      <c r="G57" s="9">
        <f>G39/G26</f>
        <v>-0.025660251603765727</v>
      </c>
      <c r="H57" s="9">
        <f>H39/H26</f>
        <v>0.005461479629810234</v>
      </c>
    </row>
    <row r="58" spans="1:8" ht="11.25">
      <c r="A58" s="6" t="s">
        <v>50</v>
      </c>
      <c r="B58" s="6"/>
      <c r="C58" s="9">
        <f>C39/C30</f>
        <v>-0.06713274177646321</v>
      </c>
      <c r="D58" s="9">
        <f>(D39/0.75)/D30</f>
        <v>-0.0675060902233571</v>
      </c>
      <c r="E58" s="9">
        <f>(E39/0.5)/E30</f>
        <v>-0.07421182372529517</v>
      </c>
      <c r="F58" s="9">
        <f>((F39)/0.25)/F30</f>
        <v>-0.10128252711452018</v>
      </c>
      <c r="G58" s="9">
        <f>G39/G30</f>
        <v>-0.0765661252900232</v>
      </c>
      <c r="H58" s="9">
        <f>H39/H30</f>
        <v>0.06927534344683899</v>
      </c>
    </row>
    <row r="59" spans="1:8" ht="11.25">
      <c r="A59" s="6" t="s">
        <v>51</v>
      </c>
      <c r="B59" s="6"/>
      <c r="C59" s="9">
        <f>C32/C26</f>
        <v>0.04574252407501267</v>
      </c>
      <c r="D59" s="9">
        <f>(D32/0.75)/D26</f>
        <v>0.03507409860023292</v>
      </c>
      <c r="E59" s="9">
        <f>(E32/0.5)/E26</f>
        <v>0.03871802306131097</v>
      </c>
      <c r="F59" s="9">
        <f>((F32)/0.25)/F26</f>
        <v>0.03053216269485755</v>
      </c>
      <c r="G59" s="9">
        <f>G32/G26</f>
        <v>0.0242717098503152</v>
      </c>
      <c r="H59" s="9">
        <f>H32/H26</f>
        <v>0.013104471329798428</v>
      </c>
    </row>
    <row r="60" spans="1:8" ht="11.25">
      <c r="A60" s="6" t="s">
        <v>52</v>
      </c>
      <c r="B60" s="6"/>
      <c r="C60" s="9">
        <f>C33/C26</f>
        <v>0.00912316269640142</v>
      </c>
      <c r="D60" s="9">
        <f>(D33/0.75)/D26</f>
        <v>0.00645460842295953</v>
      </c>
      <c r="E60" s="9">
        <f>(E33/0.5)/E26</f>
        <v>0.006334054463947187</v>
      </c>
      <c r="F60" s="9">
        <f>((F33)/0.25)/F26</f>
        <v>0.0050170220390611</v>
      </c>
      <c r="G60" s="9">
        <f>G33/G26</f>
        <v>0.02285539726179566</v>
      </c>
      <c r="H60" s="9">
        <f>H33/H26</f>
        <v>0.01233452589326503</v>
      </c>
    </row>
    <row r="61" spans="1:8" ht="11.25">
      <c r="A61" s="6" t="s">
        <v>53</v>
      </c>
      <c r="B61" s="6"/>
      <c r="C61" s="9">
        <f>C34/C26</f>
        <v>0.03661936137861125</v>
      </c>
      <c r="D61" s="9">
        <f>(D34)/0.75/D26</f>
        <v>0.028619490177273384</v>
      </c>
      <c r="E61" s="9">
        <f>(E34/0.5)/E26</f>
        <v>0.03238396859736378</v>
      </c>
      <c r="F61" s="9">
        <f>((F34)/0.25)/F26</f>
        <v>0.02551514065579645</v>
      </c>
      <c r="G61" s="9">
        <f>G34/G26</f>
        <v>0.0014163125885195368</v>
      </c>
      <c r="H61" s="9">
        <f>H34/H26</f>
        <v>0.0007699454365333977</v>
      </c>
    </row>
    <row r="62" spans="1:8" ht="11.25">
      <c r="A62" s="6" t="s">
        <v>54</v>
      </c>
      <c r="B62" s="6"/>
      <c r="C62" s="9">
        <f>C37/C36</f>
        <v>2.2178861788617885</v>
      </c>
      <c r="D62" s="9">
        <f>(D37/0.75)/(D36/0.75)</f>
        <v>2.1569416498993963</v>
      </c>
      <c r="E62" s="9">
        <f>(E37/0.5)/(E36/0.5)</f>
        <v>1.6517150395778364</v>
      </c>
      <c r="F62" s="9">
        <f>(F37/0.25)/(F36/0.25)</f>
        <v>1.6720430107526882</v>
      </c>
      <c r="G62" s="9">
        <f>G37/G36</f>
        <v>6.28</v>
      </c>
      <c r="H62" s="9">
        <f>H37/H36</f>
        <v>0.47274529236868185</v>
      </c>
    </row>
    <row r="63" spans="1:8" ht="11.25">
      <c r="A63" s="2" t="s">
        <v>55</v>
      </c>
      <c r="B63" s="2"/>
      <c r="C63" s="11">
        <f>C35/C26</f>
        <v>0.0023441459706031423</v>
      </c>
      <c r="D63" s="11">
        <f>(D35/0.75)/D26</f>
        <v>0.0016440983718859178</v>
      </c>
      <c r="E63" s="11">
        <f>(E35/0.5)/E26</f>
        <v>0.001427392555255704</v>
      </c>
      <c r="F63" s="11">
        <f>(F35/0.25)/F26</f>
        <v>0.0011467478946425372</v>
      </c>
      <c r="G63" s="11">
        <f>G35/G26</f>
        <v>0.003443583548557305</v>
      </c>
      <c r="H63" s="11">
        <f>H35/H26</f>
        <v>0.009588387169629245</v>
      </c>
    </row>
    <row r="64" spans="1:8" ht="11.25">
      <c r="A64" s="4" t="s">
        <v>56</v>
      </c>
      <c r="B64" s="6"/>
      <c r="C64" s="6"/>
      <c r="D64" s="6"/>
      <c r="E64" s="6"/>
      <c r="F64" s="6"/>
      <c r="G64" s="6"/>
      <c r="H64" s="6"/>
    </row>
    <row r="65" spans="1:8" ht="11.25">
      <c r="A65" s="6" t="s">
        <v>57</v>
      </c>
      <c r="B65" s="6"/>
      <c r="C65" s="7">
        <v>19</v>
      </c>
      <c r="D65" s="7">
        <v>17</v>
      </c>
      <c r="E65" s="7">
        <v>18</v>
      </c>
      <c r="F65" s="7">
        <v>20</v>
      </c>
      <c r="G65" s="7">
        <v>27</v>
      </c>
      <c r="H65" s="7">
        <v>13</v>
      </c>
    </row>
    <row r="66" spans="1:8" ht="11.25">
      <c r="A66" s="6" t="s">
        <v>58</v>
      </c>
      <c r="B66" s="6"/>
      <c r="C66" s="7">
        <v>1</v>
      </c>
      <c r="D66" s="7">
        <v>1</v>
      </c>
      <c r="E66" s="7">
        <v>1</v>
      </c>
      <c r="F66" s="7">
        <v>1</v>
      </c>
      <c r="G66" s="7">
        <v>1</v>
      </c>
      <c r="H66" s="7">
        <v>1</v>
      </c>
    </row>
    <row r="67" spans="1:8" ht="11.25">
      <c r="A67" s="6" t="s">
        <v>59</v>
      </c>
      <c r="B67" s="6"/>
      <c r="C67" s="7">
        <f aca="true" t="shared" si="16" ref="C67:H67">C12/C65</f>
        <v>208.42105263157896</v>
      </c>
      <c r="D67" s="7">
        <f t="shared" si="16"/>
        <v>256.29411764705884</v>
      </c>
      <c r="E67" s="7">
        <f t="shared" si="16"/>
        <v>218.83333333333334</v>
      </c>
      <c r="F67" s="7">
        <f t="shared" si="16"/>
        <v>207.65</v>
      </c>
      <c r="G67" s="7">
        <f t="shared" si="16"/>
        <v>146.62962962962962</v>
      </c>
      <c r="H67" s="7">
        <f t="shared" si="16"/>
        <v>662.9230769230769</v>
      </c>
    </row>
    <row r="68" spans="1:8" ht="11.25">
      <c r="A68" s="6" t="s">
        <v>60</v>
      </c>
      <c r="B68" s="6"/>
      <c r="C68" s="7">
        <f aca="true" t="shared" si="17" ref="C68:H68">C16/C65</f>
        <v>124.47368421052632</v>
      </c>
      <c r="D68" s="7">
        <f t="shared" si="17"/>
        <v>143.47058823529412</v>
      </c>
      <c r="E68" s="7">
        <f t="shared" si="17"/>
        <v>141.66666666666666</v>
      </c>
      <c r="F68" s="7">
        <f t="shared" si="17"/>
        <v>123.9</v>
      </c>
      <c r="G68" s="7">
        <f t="shared" si="17"/>
        <v>89.33333333333333</v>
      </c>
      <c r="H68" s="7">
        <f t="shared" si="17"/>
        <v>1695.923076923077</v>
      </c>
    </row>
    <row r="69" spans="1:8" ht="11.25">
      <c r="A69" s="2" t="s">
        <v>61</v>
      </c>
      <c r="B69" s="2"/>
      <c r="C69" s="8">
        <f aca="true" t="shared" si="18" ref="C69:H69">(C39/C65)</f>
        <v>-39.421052631578945</v>
      </c>
      <c r="D69" s="8">
        <f t="shared" si="18"/>
        <v>-33.8235294117647</v>
      </c>
      <c r="E69" s="8">
        <f t="shared" si="18"/>
        <v>-23.833333333333332</v>
      </c>
      <c r="F69" s="8">
        <f t="shared" si="18"/>
        <v>-15.35</v>
      </c>
      <c r="G69" s="8">
        <f t="shared" si="18"/>
        <v>-34.22222222222222</v>
      </c>
      <c r="H69" s="8">
        <f t="shared" si="18"/>
        <v>81.84615384615384</v>
      </c>
    </row>
    <row r="70" spans="1:8" ht="11.25">
      <c r="A70" s="4" t="s">
        <v>62</v>
      </c>
      <c r="B70" s="6"/>
      <c r="C70" s="6"/>
      <c r="D70" s="6"/>
      <c r="E70" s="6"/>
      <c r="F70" s="6"/>
      <c r="G70" s="6"/>
      <c r="H70" s="6"/>
    </row>
    <row r="71" spans="1:8" ht="11.25">
      <c r="A71" s="6" t="s">
        <v>63</v>
      </c>
      <c r="B71" s="6"/>
      <c r="C71" s="9">
        <f>(C10/G10)-1</f>
        <v>-0.1211760504701821</v>
      </c>
      <c r="D71" s="9">
        <f>(D10/28269)-1</f>
        <v>-0.45084721780041737</v>
      </c>
      <c r="E71" s="9">
        <f>(E10/29181)-1</f>
        <v>-0.46348651519824546</v>
      </c>
      <c r="F71" s="9">
        <f>(F10/36756)-1</f>
        <v>-0.4816084448797475</v>
      </c>
      <c r="G71" s="9">
        <f>(G10/H10)-1</f>
        <v>-0.6957041437264562</v>
      </c>
      <c r="H71" s="9">
        <f>(H10/334421)-1</f>
        <v>-0.8348907514779276</v>
      </c>
    </row>
    <row r="72" spans="1:8" ht="11.25">
      <c r="A72" s="6" t="s">
        <v>64</v>
      </c>
      <c r="B72" s="6"/>
      <c r="C72" s="9">
        <f>(C12/G12)-1</f>
        <v>0.0002525890376356976</v>
      </c>
      <c r="D72" s="9">
        <f>D12/4191-1</f>
        <v>0.039608685277976674</v>
      </c>
      <c r="E72" s="9">
        <f>E12/5094-1</f>
        <v>-0.22673733804475849</v>
      </c>
      <c r="F72" s="9">
        <f>F12/5633-1</f>
        <v>-0.26273744008521216</v>
      </c>
      <c r="G72" s="9">
        <f>(G12/H12)-1</f>
        <v>-0.5406126711533998</v>
      </c>
      <c r="H72" s="9">
        <f>H12/167489-1</f>
        <v>-0.948545874654455</v>
      </c>
    </row>
    <row r="73" spans="1:8" ht="11.25">
      <c r="A73" s="6"/>
      <c r="B73" s="6" t="s">
        <v>13</v>
      </c>
      <c r="C73" s="9">
        <f>(C13/G13)-1</f>
        <v>0.0002525890376356976</v>
      </c>
      <c r="D73" s="9">
        <f>(D13/4191)-1</f>
        <v>0.039608685277976674</v>
      </c>
      <c r="E73" s="9">
        <f>(E13/5094)-1</f>
        <v>-0.22673733804475849</v>
      </c>
      <c r="F73" s="9">
        <f>(F13/5633)-1</f>
        <v>-0.26273744008521216</v>
      </c>
      <c r="G73" s="9">
        <f>(G13/H13)-1</f>
        <v>-0.34583608724388637</v>
      </c>
      <c r="H73" s="9">
        <f>(H13/5855)-1</f>
        <v>0.03364645602049521</v>
      </c>
    </row>
    <row r="74" spans="1:8" ht="11.25">
      <c r="A74" s="6"/>
      <c r="B74" s="6" t="s">
        <v>14</v>
      </c>
      <c r="C74" s="9">
        <v>0</v>
      </c>
      <c r="D74" s="9">
        <v>0</v>
      </c>
      <c r="E74" s="9">
        <v>0</v>
      </c>
      <c r="F74" s="9">
        <v>0</v>
      </c>
      <c r="G74" s="9">
        <f>(G14/H14)-1</f>
        <v>-1</v>
      </c>
      <c r="H74" s="9">
        <f>(H14/161634)-1</f>
        <v>-0.9841246272442679</v>
      </c>
    </row>
    <row r="75" spans="1:8" ht="11.25">
      <c r="A75" s="6" t="s">
        <v>65</v>
      </c>
      <c r="B75" s="6"/>
      <c r="C75" s="9">
        <f>(C16/G16)-1</f>
        <v>-0.019485903814262073</v>
      </c>
      <c r="D75" s="9">
        <f>D16/8363-1</f>
        <v>-0.7083582446490494</v>
      </c>
      <c r="E75" s="9">
        <f>E16/8724-1</f>
        <v>-0.7077028885832187</v>
      </c>
      <c r="F75" s="9">
        <f>F16/16973-1</f>
        <v>-0.8540034171920108</v>
      </c>
      <c r="G75" s="9">
        <f>(G16/H16)-1</f>
        <v>-0.8905973601850592</v>
      </c>
      <c r="H75" s="9">
        <f>H16/225417-1</f>
        <v>-0.9021945993425518</v>
      </c>
    </row>
    <row r="76" spans="1:8" ht="11.25">
      <c r="A76" s="6"/>
      <c r="B76" s="6" t="s">
        <v>13</v>
      </c>
      <c r="C76" s="9">
        <f>(C17/G17)-1</f>
        <v>-0.012526096033402934</v>
      </c>
      <c r="D76" s="9">
        <f>(D17/8363)-1</f>
        <v>-0.7083582446490494</v>
      </c>
      <c r="E76" s="9">
        <f>(E17/8724)-1</f>
        <v>-0.712287941311325</v>
      </c>
      <c r="F76" s="9">
        <f>(F17/14692)-1</f>
        <v>-0.8313367819221344</v>
      </c>
      <c r="G76" s="9">
        <f>(G17/H17)-1</f>
        <v>-0.838033407723</v>
      </c>
      <c r="H76" s="9">
        <f>(H17/22810)-1</f>
        <v>-0.3517316966242876</v>
      </c>
    </row>
    <row r="77" spans="1:8" ht="11.25">
      <c r="A77" s="6"/>
      <c r="B77" s="6" t="s">
        <v>14</v>
      </c>
      <c r="C77" s="9">
        <f>(C21/G21)-1</f>
        <v>-1</v>
      </c>
      <c r="D77" s="9">
        <v>0</v>
      </c>
      <c r="E77" s="9">
        <v>0</v>
      </c>
      <c r="F77" s="9">
        <f>(F21/2281)-1</f>
        <v>-1</v>
      </c>
      <c r="G77" s="9">
        <f>(G21/H21)-1</f>
        <v>-0.9976584022038567</v>
      </c>
      <c r="H77" s="9">
        <f>(H21/202607)-1</f>
        <v>-0.9641670820850218</v>
      </c>
    </row>
    <row r="78" spans="1:8" ht="11.25">
      <c r="A78" s="6" t="s">
        <v>66</v>
      </c>
      <c r="B78" s="6"/>
      <c r="C78" s="9">
        <f>(C24/G24)-1</f>
        <v>0.015536085267816802</v>
      </c>
      <c r="D78" s="9">
        <f>(D24/11294)-1</f>
        <v>0.011156366212148106</v>
      </c>
      <c r="E78" s="9">
        <f>(E24/11558)-1</f>
        <v>0.0006921612735768523</v>
      </c>
      <c r="F78" s="9">
        <f>(F24/12557)-1</f>
        <v>-0.06888588038544241</v>
      </c>
      <c r="G78" s="9">
        <f>(G24/H24)-1</f>
        <v>-0.15262150784538842</v>
      </c>
      <c r="H78" s="9">
        <f>(H24/17653)-1</f>
        <v>-0.2598991672803489</v>
      </c>
    </row>
    <row r="79" spans="1:8" ht="11.25">
      <c r="A79" s="2" t="s">
        <v>67</v>
      </c>
      <c r="B79" s="2"/>
      <c r="C79" s="11">
        <f>(C39/G39)-1</f>
        <v>-0.18939393939393945</v>
      </c>
      <c r="D79" s="11">
        <f>(D39/703)-1</f>
        <v>-1.817923186344239</v>
      </c>
      <c r="E79" s="11">
        <f>(E39/-441)-1</f>
        <v>-0.027210884353741527</v>
      </c>
      <c r="F79" s="11">
        <f>(F39/557)-1</f>
        <v>-1.5511669658886893</v>
      </c>
      <c r="G79" s="11">
        <f>(G39/H39)-1</f>
        <v>-1.868421052631579</v>
      </c>
      <c r="H79" s="11">
        <f>(H39/7589)-1</f>
        <v>-0.8597970747134009</v>
      </c>
    </row>
    <row r="80" spans="1:8" ht="11.25">
      <c r="A80" s="6"/>
      <c r="B80" s="6"/>
      <c r="C80" s="6"/>
      <c r="D80" s="6"/>
      <c r="E80" s="6"/>
      <c r="F80" s="6"/>
      <c r="G80" s="6"/>
      <c r="H80" s="6"/>
    </row>
    <row r="81" spans="1:8" ht="11.25">
      <c r="A81" s="6"/>
      <c r="B81" s="6"/>
      <c r="C81" s="6"/>
      <c r="D81" s="6"/>
      <c r="E81" s="6"/>
      <c r="F81" s="6"/>
      <c r="G81" s="6"/>
      <c r="H81" s="6"/>
    </row>
    <row r="82" spans="1:8" ht="11.25">
      <c r="A82" s="6"/>
      <c r="B82" s="6"/>
      <c r="C82" s="6"/>
      <c r="D82" s="6"/>
      <c r="E82" s="6"/>
      <c r="F82" s="6"/>
      <c r="G82" s="6"/>
      <c r="H82" s="6"/>
    </row>
    <row r="83" spans="1:8" ht="11.25">
      <c r="A83" s="6"/>
      <c r="B83" s="6"/>
      <c r="C83" s="6"/>
      <c r="D83" s="6"/>
      <c r="E83" s="6"/>
      <c r="F83" s="6"/>
      <c r="G83" s="6"/>
      <c r="H83" s="6"/>
    </row>
    <row r="84" spans="1:8" ht="11.25">
      <c r="A84" s="6"/>
      <c r="B84" s="6"/>
      <c r="C84" s="6"/>
      <c r="D84" s="6"/>
      <c r="E84" s="6"/>
      <c r="F84" s="6"/>
      <c r="G84" s="6"/>
      <c r="H84" s="6"/>
    </row>
    <row r="85" spans="1:8" ht="11.25">
      <c r="A85" s="6"/>
      <c r="B85" s="6"/>
      <c r="C85" s="6"/>
      <c r="D85" s="6"/>
      <c r="E85" s="6"/>
      <c r="F85" s="6"/>
      <c r="G85" s="6"/>
      <c r="H85" s="6"/>
    </row>
    <row r="86" spans="1:8" ht="11.25">
      <c r="A86" s="6"/>
      <c r="B86" s="6"/>
      <c r="C86" s="6"/>
      <c r="D86" s="6"/>
      <c r="E86" s="6"/>
      <c r="F86" s="6"/>
      <c r="G86" s="6"/>
      <c r="H86" s="6"/>
    </row>
    <row r="87" spans="1:8" ht="11.25">
      <c r="A87" s="6"/>
      <c r="B87" s="6"/>
      <c r="C87" s="6"/>
      <c r="D87" s="6"/>
      <c r="E87" s="6"/>
      <c r="F87" s="6"/>
      <c r="G87" s="6"/>
      <c r="H87" s="6"/>
    </row>
    <row r="88" spans="1:8" ht="11.25">
      <c r="A88" s="6"/>
      <c r="B88" s="6"/>
      <c r="C88" s="6"/>
      <c r="D88" s="6"/>
      <c r="E88" s="6"/>
      <c r="F88" s="6"/>
      <c r="G88" s="6"/>
      <c r="H88" s="6"/>
    </row>
    <row r="89" spans="1:8" ht="11.25">
      <c r="A89" s="6"/>
      <c r="B89" s="6"/>
      <c r="C89" s="6"/>
      <c r="D89" s="6"/>
      <c r="E89" s="6"/>
      <c r="F89" s="6"/>
      <c r="G89" s="6"/>
      <c r="H89" s="6"/>
    </row>
    <row r="90" spans="1:8" ht="11.25">
      <c r="A90" s="6"/>
      <c r="B90" s="6"/>
      <c r="C90" s="6"/>
      <c r="D90" s="6"/>
      <c r="E90" s="6"/>
      <c r="F90" s="6"/>
      <c r="G90" s="6"/>
      <c r="H90" s="6"/>
    </row>
    <row r="91" spans="1:8" ht="11.25">
      <c r="A91" s="6"/>
      <c r="B91" s="6"/>
      <c r="C91" s="6"/>
      <c r="D91" s="6"/>
      <c r="E91" s="6"/>
      <c r="F91" s="6"/>
      <c r="G91" s="6"/>
      <c r="H91" s="6"/>
    </row>
    <row r="92" spans="1:8" ht="11.25">
      <c r="A92" s="6"/>
      <c r="B92" s="6"/>
      <c r="C92" s="6"/>
      <c r="D92" s="6"/>
      <c r="E92" s="6"/>
      <c r="F92" s="6"/>
      <c r="G92" s="6"/>
      <c r="H92" s="6"/>
    </row>
    <row r="93" spans="1:8" ht="11.25">
      <c r="A93" s="6"/>
      <c r="B93" s="6"/>
      <c r="C93" s="6"/>
      <c r="D93" s="6"/>
      <c r="E93" s="6"/>
      <c r="F93" s="6"/>
      <c r="G93" s="6"/>
      <c r="H93" s="6"/>
    </row>
    <row r="94" spans="1:8" ht="11.25">
      <c r="A94" s="6"/>
      <c r="B94" s="6"/>
      <c r="C94" s="6"/>
      <c r="D94" s="6"/>
      <c r="E94" s="6"/>
      <c r="F94" s="6"/>
      <c r="G94" s="6"/>
      <c r="H94" s="6"/>
    </row>
    <row r="95" spans="1:8" ht="11.25">
      <c r="A95" s="6"/>
      <c r="B95" s="6"/>
      <c r="C95" s="6"/>
      <c r="D95" s="6"/>
      <c r="E95" s="6"/>
      <c r="F95" s="6"/>
      <c r="G95" s="6"/>
      <c r="H95" s="6"/>
    </row>
    <row r="96" spans="1:8" ht="11.25">
      <c r="A96" s="6"/>
      <c r="B96" s="6"/>
      <c r="C96" s="6"/>
      <c r="D96" s="6"/>
      <c r="E96" s="6"/>
      <c r="F96" s="6"/>
      <c r="G96" s="6"/>
      <c r="H96" s="6"/>
    </row>
    <row r="97" spans="1:8" ht="11.25">
      <c r="A97" s="6"/>
      <c r="B97" s="6"/>
      <c r="C97" s="6"/>
      <c r="D97" s="6"/>
      <c r="E97" s="6"/>
      <c r="F97" s="6"/>
      <c r="G97" s="6"/>
      <c r="H97" s="6"/>
    </row>
    <row r="98" spans="1:8" ht="11.25">
      <c r="A98" s="6"/>
      <c r="B98" s="6"/>
      <c r="C98" s="6"/>
      <c r="D98" s="6"/>
      <c r="E98" s="6"/>
      <c r="F98" s="6"/>
      <c r="G98" s="6"/>
      <c r="H98" s="6"/>
    </row>
    <row r="99" spans="1:8" ht="11.25">
      <c r="A99" s="6"/>
      <c r="B99" s="6"/>
      <c r="C99" s="6"/>
      <c r="D99" s="6"/>
      <c r="E99" s="6"/>
      <c r="F99" s="6"/>
      <c r="G99" s="6"/>
      <c r="H99" s="6"/>
    </row>
    <row r="100" spans="1:8" ht="11.25">
      <c r="A100" s="6"/>
      <c r="B100" s="6"/>
      <c r="C100" s="6"/>
      <c r="D100" s="6"/>
      <c r="E100" s="6"/>
      <c r="F100" s="6"/>
      <c r="G100" s="6"/>
      <c r="H100" s="6"/>
    </row>
    <row r="101" spans="1:8" ht="11.25">
      <c r="A101" s="6"/>
      <c r="B101" s="6"/>
      <c r="C101" s="6"/>
      <c r="D101" s="6"/>
      <c r="E101" s="6"/>
      <c r="F101" s="6"/>
      <c r="G101" s="6"/>
      <c r="H101" s="6"/>
    </row>
    <row r="102" spans="1:8" ht="11.25">
      <c r="A102" s="6"/>
      <c r="B102" s="6"/>
      <c r="C102" s="6"/>
      <c r="D102" s="6"/>
      <c r="E102" s="6"/>
      <c r="F102" s="6"/>
      <c r="G102" s="6"/>
      <c r="H102" s="6"/>
    </row>
    <row r="103" spans="1:8" ht="11.25">
      <c r="A103" s="6"/>
      <c r="B103" s="6"/>
      <c r="C103" s="6"/>
      <c r="D103" s="6"/>
      <c r="E103" s="6"/>
      <c r="F103" s="6"/>
      <c r="G103" s="6"/>
      <c r="H103" s="6"/>
    </row>
    <row r="104" spans="1:8" ht="11.25">
      <c r="A104" s="6"/>
      <c r="B104" s="6"/>
      <c r="C104" s="6"/>
      <c r="D104" s="6"/>
      <c r="E104" s="6"/>
      <c r="F104" s="6"/>
      <c r="G104" s="6"/>
      <c r="H104" s="6"/>
    </row>
    <row r="105" spans="1:8" ht="11.25">
      <c r="A105" s="6"/>
      <c r="B105" s="6"/>
      <c r="C105" s="6"/>
      <c r="D105" s="6"/>
      <c r="E105" s="6"/>
      <c r="F105" s="6"/>
      <c r="G105" s="6"/>
      <c r="H105" s="6"/>
    </row>
    <row r="106" spans="1:8" ht="11.25">
      <c r="A106" s="6"/>
      <c r="B106" s="6"/>
      <c r="C106" s="6"/>
      <c r="D106" s="6"/>
      <c r="E106" s="6"/>
      <c r="F106" s="6"/>
      <c r="G106" s="6"/>
      <c r="H106" s="6"/>
    </row>
    <row r="107" spans="1:8" ht="11.25">
      <c r="A107" s="6"/>
      <c r="B107" s="6"/>
      <c r="C107" s="6"/>
      <c r="D107" s="6"/>
      <c r="E107" s="6"/>
      <c r="F107" s="6"/>
      <c r="G107" s="6"/>
      <c r="H107" s="6"/>
    </row>
    <row r="108" spans="1:8" ht="11.25">
      <c r="A108" s="6"/>
      <c r="B108" s="6"/>
      <c r="C108" s="6"/>
      <c r="D108" s="6"/>
      <c r="E108" s="6"/>
      <c r="F108" s="6"/>
      <c r="G108" s="6"/>
      <c r="H108" s="6"/>
    </row>
    <row r="109" spans="1:8" ht="11.25">
      <c r="A109" s="6"/>
      <c r="B109" s="6"/>
      <c r="C109" s="6"/>
      <c r="D109" s="6"/>
      <c r="E109" s="6"/>
      <c r="F109" s="6"/>
      <c r="G109" s="6"/>
      <c r="H109" s="6"/>
    </row>
    <row r="110" spans="1:8" ht="11.25">
      <c r="A110" s="6"/>
      <c r="B110" s="6"/>
      <c r="C110" s="6"/>
      <c r="D110" s="6"/>
      <c r="E110" s="6"/>
      <c r="F110" s="6"/>
      <c r="G110" s="6"/>
      <c r="H110" s="6"/>
    </row>
    <row r="111" spans="1:8" ht="11.25">
      <c r="A111" s="6"/>
      <c r="B111" s="6"/>
      <c r="C111" s="6"/>
      <c r="D111" s="6"/>
      <c r="E111" s="6"/>
      <c r="F111" s="6"/>
      <c r="G111" s="6"/>
      <c r="H111" s="6"/>
    </row>
    <row r="112" spans="1:8" ht="11.25">
      <c r="A112" s="6"/>
      <c r="B112" s="6"/>
      <c r="C112" s="6"/>
      <c r="D112" s="6"/>
      <c r="E112" s="6"/>
      <c r="F112" s="6"/>
      <c r="G112" s="6"/>
      <c r="H112" s="6"/>
    </row>
    <row r="113" spans="1:8" ht="11.25">
      <c r="A113" s="6"/>
      <c r="B113" s="6"/>
      <c r="C113" s="6"/>
      <c r="D113" s="6"/>
      <c r="E113" s="6"/>
      <c r="F113" s="6"/>
      <c r="G113" s="6"/>
      <c r="H113" s="6"/>
    </row>
    <row r="114" spans="1:8" ht="11.25">
      <c r="A114" s="6"/>
      <c r="B114" s="6"/>
      <c r="C114" s="6"/>
      <c r="D114" s="6"/>
      <c r="E114" s="6"/>
      <c r="F114" s="6"/>
      <c r="G114" s="6"/>
      <c r="H114" s="6"/>
    </row>
    <row r="115" spans="1:8" ht="11.25">
      <c r="A115" s="6"/>
      <c r="B115" s="6"/>
      <c r="C115" s="6"/>
      <c r="D115" s="6"/>
      <c r="E115" s="6"/>
      <c r="F115" s="6"/>
      <c r="G115" s="6"/>
      <c r="H115" s="6"/>
    </row>
    <row r="116" spans="1:8" ht="11.25">
      <c r="A116" s="6"/>
      <c r="B116" s="6"/>
      <c r="C116" s="6"/>
      <c r="D116" s="6"/>
      <c r="E116" s="6"/>
      <c r="F116" s="6"/>
      <c r="G116" s="6"/>
      <c r="H116" s="6"/>
    </row>
    <row r="117" spans="1:8" ht="11.25">
      <c r="A117" s="6"/>
      <c r="B117" s="6"/>
      <c r="C117" s="6"/>
      <c r="D117" s="6"/>
      <c r="E117" s="6"/>
      <c r="F117" s="6"/>
      <c r="G117" s="6"/>
      <c r="H117" s="6"/>
    </row>
    <row r="118" spans="1:8" ht="11.25">
      <c r="A118" s="6"/>
      <c r="B118" s="6"/>
      <c r="C118" s="6"/>
      <c r="D118" s="6"/>
      <c r="E118" s="6"/>
      <c r="F118" s="6"/>
      <c r="G118" s="6"/>
      <c r="H118" s="6"/>
    </row>
    <row r="119" spans="1:8" ht="11.25">
      <c r="A119" s="6"/>
      <c r="B119" s="6"/>
      <c r="C119" s="6"/>
      <c r="D119" s="6"/>
      <c r="E119" s="6"/>
      <c r="F119" s="6"/>
      <c r="G119" s="6"/>
      <c r="H119" s="6"/>
    </row>
    <row r="120" spans="1:8" ht="11.25">
      <c r="A120" s="6"/>
      <c r="B120" s="6"/>
      <c r="C120" s="6"/>
      <c r="D120" s="6"/>
      <c r="E120" s="6"/>
      <c r="F120" s="6"/>
      <c r="G120" s="6"/>
      <c r="H120" s="6"/>
    </row>
    <row r="121" spans="1:8" ht="11.25">
      <c r="A121" s="6"/>
      <c r="B121" s="6"/>
      <c r="C121" s="6"/>
      <c r="D121" s="6"/>
      <c r="E121" s="6"/>
      <c r="F121" s="6"/>
      <c r="G121" s="6"/>
      <c r="H121" s="6"/>
    </row>
    <row r="122" spans="1:8" ht="11.25">
      <c r="A122" s="6"/>
      <c r="B122" s="6"/>
      <c r="C122" s="6"/>
      <c r="D122" s="6"/>
      <c r="E122" s="6"/>
      <c r="F122" s="6"/>
      <c r="G122" s="6"/>
      <c r="H122" s="6"/>
    </row>
    <row r="123" spans="1:8" ht="11.25">
      <c r="A123" s="6"/>
      <c r="B123" s="6"/>
      <c r="C123" s="6"/>
      <c r="D123" s="6"/>
      <c r="E123" s="6"/>
      <c r="F123" s="6"/>
      <c r="G123" s="6"/>
      <c r="H123" s="6"/>
    </row>
    <row r="124" spans="1:8" ht="11.25">
      <c r="A124" s="6"/>
      <c r="B124" s="6"/>
      <c r="C124" s="6"/>
      <c r="D124" s="6"/>
      <c r="E124" s="6"/>
      <c r="F124" s="6"/>
      <c r="G124" s="6"/>
      <c r="H124" s="6"/>
    </row>
    <row r="125" spans="1:8" ht="11.25">
      <c r="A125" s="6"/>
      <c r="B125" s="6"/>
      <c r="C125" s="6"/>
      <c r="D125" s="6"/>
      <c r="E125" s="6"/>
      <c r="F125" s="6"/>
      <c r="G125" s="6"/>
      <c r="H125" s="6"/>
    </row>
    <row r="126" spans="1:8" ht="11.25">
      <c r="A126" s="6"/>
      <c r="B126" s="6"/>
      <c r="C126" s="6"/>
      <c r="D126" s="6"/>
      <c r="E126" s="6"/>
      <c r="F126" s="6"/>
      <c r="G126" s="6"/>
      <c r="H126" s="6"/>
    </row>
    <row r="127" spans="1:8" ht="11.25">
      <c r="A127" s="6"/>
      <c r="B127" s="6"/>
      <c r="C127" s="6"/>
      <c r="D127" s="6"/>
      <c r="E127" s="6"/>
      <c r="F127" s="6"/>
      <c r="G127" s="6"/>
      <c r="H127" s="6"/>
    </row>
    <row r="128" spans="1:8" ht="11.25">
      <c r="A128" s="6"/>
      <c r="B128" s="6"/>
      <c r="C128" s="6"/>
      <c r="D128" s="6"/>
      <c r="E128" s="6"/>
      <c r="F128" s="6"/>
      <c r="G128" s="6"/>
      <c r="H128" s="6"/>
    </row>
    <row r="129" spans="1:8" ht="11.25">
      <c r="A129" s="6"/>
      <c r="B129" s="6"/>
      <c r="C129" s="6"/>
      <c r="D129" s="6"/>
      <c r="E129" s="6"/>
      <c r="F129" s="6"/>
      <c r="G129" s="6"/>
      <c r="H129" s="6"/>
    </row>
    <row r="130" spans="1:8" ht="11.25">
      <c r="A130" s="6"/>
      <c r="B130" s="6"/>
      <c r="C130" s="6"/>
      <c r="D130" s="6"/>
      <c r="E130" s="6"/>
      <c r="F130" s="6"/>
      <c r="G130" s="6"/>
      <c r="H130" s="6"/>
    </row>
    <row r="131" spans="1:8" ht="11.25">
      <c r="A131" s="6"/>
      <c r="B131" s="6"/>
      <c r="C131" s="6"/>
      <c r="D131" s="6"/>
      <c r="E131" s="6"/>
      <c r="F131" s="6"/>
      <c r="G131" s="6"/>
      <c r="H131" s="6"/>
    </row>
    <row r="132" spans="1:8" ht="11.25">
      <c r="A132" s="6"/>
      <c r="B132" s="6"/>
      <c r="C132" s="6"/>
      <c r="D132" s="6"/>
      <c r="E132" s="6"/>
      <c r="F132" s="6"/>
      <c r="G132" s="6"/>
      <c r="H132" s="6"/>
    </row>
    <row r="133" spans="1:8" ht="11.25">
      <c r="A133" s="6"/>
      <c r="B133" s="6"/>
      <c r="C133" s="6"/>
      <c r="D133" s="6"/>
      <c r="E133" s="6"/>
      <c r="F133" s="6"/>
      <c r="G133" s="6"/>
      <c r="H133" s="6"/>
    </row>
    <row r="134" spans="1:8" ht="11.25">
      <c r="A134" s="6"/>
      <c r="B134" s="6"/>
      <c r="C134" s="6"/>
      <c r="D134" s="6"/>
      <c r="E134" s="6"/>
      <c r="F134" s="6"/>
      <c r="G134" s="6"/>
      <c r="H134" s="6"/>
    </row>
    <row r="135" spans="1:8" ht="11.25">
      <c r="A135" s="6"/>
      <c r="B135" s="6"/>
      <c r="C135" s="6"/>
      <c r="D135" s="6"/>
      <c r="E135" s="6"/>
      <c r="F135" s="6"/>
      <c r="G135" s="6"/>
      <c r="H135" s="6"/>
    </row>
    <row r="136" spans="1:8" ht="11.25">
      <c r="A136" s="6"/>
      <c r="B136" s="6"/>
      <c r="C136" s="6"/>
      <c r="D136" s="6"/>
      <c r="E136" s="6"/>
      <c r="F136" s="6"/>
      <c r="G136" s="6"/>
      <c r="H136" s="6"/>
    </row>
    <row r="137" spans="1:8" ht="11.25">
      <c r="A137" s="6"/>
      <c r="B137" s="6"/>
      <c r="C137" s="6"/>
      <c r="D137" s="6"/>
      <c r="E137" s="6"/>
      <c r="F137" s="6"/>
      <c r="G137" s="6"/>
      <c r="H137" s="6"/>
    </row>
    <row r="138" spans="1:8" ht="11.25">
      <c r="A138" s="6"/>
      <c r="B138" s="6"/>
      <c r="C138" s="6"/>
      <c r="D138" s="6"/>
      <c r="E138" s="6"/>
      <c r="F138" s="6"/>
      <c r="G138" s="6"/>
      <c r="H138" s="6"/>
    </row>
    <row r="139" spans="1:8" ht="11.25">
      <c r="A139" s="6"/>
      <c r="B139" s="6"/>
      <c r="C139" s="6"/>
      <c r="D139" s="6"/>
      <c r="E139" s="6"/>
      <c r="F139" s="6"/>
      <c r="G139" s="6"/>
      <c r="H139" s="6"/>
    </row>
    <row r="140" spans="1:8" ht="11.25">
      <c r="A140" s="6"/>
      <c r="B140" s="6"/>
      <c r="C140" s="6"/>
      <c r="D140" s="6"/>
      <c r="E140" s="6"/>
      <c r="F140" s="6"/>
      <c r="G140" s="6"/>
      <c r="H140" s="6"/>
    </row>
    <row r="141" spans="1:8" ht="11.25">
      <c r="A141" s="6"/>
      <c r="B141" s="6"/>
      <c r="C141" s="6"/>
      <c r="D141" s="6"/>
      <c r="E141" s="6"/>
      <c r="F141" s="6"/>
      <c r="G141" s="6"/>
      <c r="H141" s="6"/>
    </row>
    <row r="142" spans="1:8" ht="11.25">
      <c r="A142" s="6"/>
      <c r="B142" s="6"/>
      <c r="C142" s="6"/>
      <c r="D142" s="6"/>
      <c r="E142" s="6"/>
      <c r="F142" s="6"/>
      <c r="G142" s="6"/>
      <c r="H142" s="6"/>
    </row>
    <row r="143" spans="1:8" ht="11.25">
      <c r="A143" s="6"/>
      <c r="B143" s="6"/>
      <c r="C143" s="6"/>
      <c r="D143" s="6"/>
      <c r="E143" s="6"/>
      <c r="F143" s="6"/>
      <c r="G143" s="6"/>
      <c r="H143" s="6"/>
    </row>
    <row r="144" spans="1:8" ht="11.25">
      <c r="A144" s="6"/>
      <c r="B144" s="6"/>
      <c r="C144" s="6"/>
      <c r="D144" s="6"/>
      <c r="E144" s="6"/>
      <c r="F144" s="6"/>
      <c r="G144" s="6"/>
      <c r="H144" s="6"/>
    </row>
    <row r="145" spans="1:8" ht="11.25">
      <c r="A145" s="6"/>
      <c r="B145" s="6"/>
      <c r="C145" s="6"/>
      <c r="D145" s="6"/>
      <c r="E145" s="6"/>
      <c r="F145" s="6"/>
      <c r="G145" s="6"/>
      <c r="H145" s="6"/>
    </row>
    <row r="146" spans="1:8" ht="11.25">
      <c r="A146" s="6"/>
      <c r="B146" s="6"/>
      <c r="C146" s="6"/>
      <c r="D146" s="6"/>
      <c r="E146" s="6"/>
      <c r="F146" s="6"/>
      <c r="G146" s="6"/>
      <c r="H146" s="6"/>
    </row>
    <row r="147" spans="1:8" ht="11.25">
      <c r="A147" s="6"/>
      <c r="B147" s="6"/>
      <c r="C147" s="6"/>
      <c r="D147" s="6"/>
      <c r="E147" s="6"/>
      <c r="F147" s="6"/>
      <c r="G147" s="6"/>
      <c r="H147" s="6"/>
    </row>
    <row r="148" spans="1:8" ht="11.25">
      <c r="A148" s="6"/>
      <c r="B148" s="6"/>
      <c r="C148" s="6"/>
      <c r="D148" s="6"/>
      <c r="E148" s="6"/>
      <c r="F148" s="6"/>
      <c r="G148" s="6"/>
      <c r="H148" s="6"/>
    </row>
    <row r="149" spans="1:8" ht="11.25">
      <c r="A149" s="6"/>
      <c r="B149" s="6"/>
      <c r="C149" s="6"/>
      <c r="D149" s="6"/>
      <c r="E149" s="6"/>
      <c r="F149" s="6"/>
      <c r="G149" s="6"/>
      <c r="H149" s="6"/>
    </row>
    <row r="150" spans="1:8" ht="11.25">
      <c r="A150" s="6"/>
      <c r="B150" s="6"/>
      <c r="C150" s="6"/>
      <c r="D150" s="6"/>
      <c r="E150" s="6"/>
      <c r="F150" s="6"/>
      <c r="G150" s="6"/>
      <c r="H150" s="6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2002-04-24T20:43:06Z</cp:lastPrinted>
  <dcterms:created xsi:type="dcterms:W3CDTF">2002-03-08T14:03:50Z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