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arís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<sst xmlns="http://schemas.openxmlformats.org/spreadsheetml/2006/main" count="80" uniqueCount="68">
  <si>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18-30    BNP PARIBAS (PANAMA),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</si>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</sst>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3.421875" style="1" customWidth="1"/>
    <col min="2" max="2" width="33.7109375" style="1" customWidth="1"/>
    <col min="3" max="3" width="11.421875" style="1" customWidth="1"/>
    <col min="4" max="4" width="10.140625" style="1" customWidth="1"/>
    <col min="5" max="5" width="9.57421875" style="1" customWidth="1"/>
    <col min="6" max="6" width="9.8515625" style="1" customWidth="1"/>
    <col min="7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s="2" customFormat="1" ht="11.25">
      <c r="A9" s="5" t="s">
        <v>9</v>
      </c>
      <c r="B9" s="5"/>
      <c r="C9" s="6"/>
      <c r="D9" s="6"/>
      <c r="E9" s="6"/>
      <c r="F9" s="6"/>
      <c r="G9" s="6"/>
      <c r="H9" s="6"/>
    </row>
    <row r="10" spans="1:8" s="2" customFormat="1" ht="11.25">
      <c r="A10" s="2" t="s">
        <v>10</v>
      </c>
      <c r="C10" s="7">
        <v>244824</v>
      </c>
      <c r="D10" s="7">
        <v>244001</v>
      </c>
      <c r="E10" s="7">
        <v>228208</v>
      </c>
      <c r="F10" s="7">
        <v>212464</v>
      </c>
      <c r="G10" s="7">
        <v>230619</v>
      </c>
      <c r="H10" s="7">
        <v>272103</v>
      </c>
    </row>
    <row r="11" spans="1:8" s="2" customFormat="1" ht="11.25">
      <c r="A11" s="2" t="s">
        <v>11</v>
      </c>
      <c r="C11" s="7">
        <v>77305</v>
      </c>
      <c r="D11" s="7">
        <v>62606</v>
      </c>
      <c r="E11" s="7">
        <v>45487</v>
      </c>
      <c r="F11" s="7">
        <v>45090</v>
      </c>
      <c r="G11" s="7">
        <v>52989</v>
      </c>
      <c r="H11" s="7">
        <v>106645</v>
      </c>
    </row>
    <row r="12" spans="1:8" s="2" customFormat="1" ht="11.25">
      <c r="A12" s="2" t="s">
        <v>12</v>
      </c>
      <c r="C12" s="7">
        <f aca="true" t="shared" si="0" ref="C12:H12">C13+C14</f>
        <v>146761</v>
      </c>
      <c r="D12" s="7">
        <f t="shared" si="0"/>
        <v>162904</v>
      </c>
      <c r="E12" s="7">
        <f t="shared" si="0"/>
        <v>163144</v>
      </c>
      <c r="F12" s="7">
        <f t="shared" si="0"/>
        <v>147063</v>
      </c>
      <c r="G12" s="7">
        <f t="shared" si="0"/>
        <v>154893</v>
      </c>
      <c r="H12" s="7">
        <f t="shared" si="0"/>
        <v>147476</v>
      </c>
    </row>
    <row r="13" spans="2:8" s="2" customFormat="1" ht="11.25">
      <c r="B13" s="2" t="s">
        <v>13</v>
      </c>
      <c r="C13" s="7">
        <v>140997</v>
      </c>
      <c r="D13" s="7">
        <v>152826</v>
      </c>
      <c r="E13" s="7">
        <v>149455</v>
      </c>
      <c r="F13" s="7">
        <v>137402</v>
      </c>
      <c r="G13" s="7">
        <v>144148</v>
      </c>
      <c r="H13" s="7">
        <v>133661</v>
      </c>
    </row>
    <row r="14" spans="2:8" s="2" customFormat="1" ht="11.25">
      <c r="B14" s="2" t="s">
        <v>14</v>
      </c>
      <c r="C14" s="7">
        <v>5764</v>
      </c>
      <c r="D14" s="7">
        <v>10078</v>
      </c>
      <c r="E14" s="7">
        <v>13689</v>
      </c>
      <c r="F14" s="7">
        <v>9661</v>
      </c>
      <c r="G14" s="7">
        <v>10745</v>
      </c>
      <c r="H14" s="7">
        <v>13815</v>
      </c>
    </row>
    <row r="15" spans="1:8" s="2" customFormat="1" ht="11.25">
      <c r="A15" s="2" t="s">
        <v>15</v>
      </c>
      <c r="C15" s="7">
        <v>9909</v>
      </c>
      <c r="D15" s="7">
        <v>9909</v>
      </c>
      <c r="E15" s="7">
        <v>9835</v>
      </c>
      <c r="F15" s="7">
        <v>9836</v>
      </c>
      <c r="G15" s="7">
        <v>10126</v>
      </c>
      <c r="H15" s="7">
        <v>9018</v>
      </c>
    </row>
    <row r="16" spans="1:8" s="2" customFormat="1" ht="11.25">
      <c r="A16" s="2" t="s">
        <v>16</v>
      </c>
      <c r="C16" s="7">
        <f aca="true" t="shared" si="1" ref="C16:H16">C17+C21</f>
        <v>200392</v>
      </c>
      <c r="D16" s="7">
        <f t="shared" si="1"/>
        <v>205416</v>
      </c>
      <c r="E16" s="7">
        <f t="shared" si="1"/>
        <v>192956</v>
      </c>
      <c r="F16" s="7">
        <f t="shared" si="1"/>
        <v>175598</v>
      </c>
      <c r="G16" s="7">
        <f t="shared" si="1"/>
        <v>195098</v>
      </c>
      <c r="H16" s="7">
        <f t="shared" si="1"/>
        <v>236744</v>
      </c>
    </row>
    <row r="17" spans="2:8" s="2" customFormat="1" ht="11.25">
      <c r="B17" s="2" t="s">
        <v>13</v>
      </c>
      <c r="C17" s="7">
        <f aca="true" t="shared" si="2" ref="C17:H17">SUM(C18:C20)</f>
        <v>143250</v>
      </c>
      <c r="D17" s="7">
        <f t="shared" si="2"/>
        <v>131399</v>
      </c>
      <c r="E17" s="7">
        <f t="shared" si="2"/>
        <v>129922</v>
      </c>
      <c r="F17" s="7">
        <f t="shared" si="2"/>
        <v>121390</v>
      </c>
      <c r="G17" s="7">
        <f t="shared" si="2"/>
        <v>143545</v>
      </c>
      <c r="H17" s="7">
        <f t="shared" si="2"/>
        <v>189857</v>
      </c>
    </row>
    <row r="18" spans="2:8" s="2" customFormat="1" ht="11.25">
      <c r="B18" s="2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18</v>
      </c>
      <c r="C19" s="7">
        <v>119226</v>
      </c>
      <c r="D19" s="7">
        <v>88915</v>
      </c>
      <c r="E19" s="7">
        <v>111960</v>
      </c>
      <c r="F19" s="7">
        <v>116390</v>
      </c>
      <c r="G19" s="7">
        <v>125544</v>
      </c>
      <c r="H19" s="7">
        <v>146856</v>
      </c>
    </row>
    <row r="20" spans="2:8" s="2" customFormat="1" ht="11.25">
      <c r="B20" s="2" t="s">
        <v>19</v>
      </c>
      <c r="C20" s="7">
        <v>24024</v>
      </c>
      <c r="D20" s="7">
        <v>42484</v>
      </c>
      <c r="E20" s="7">
        <v>17962</v>
      </c>
      <c r="F20" s="7">
        <v>5000</v>
      </c>
      <c r="G20" s="7">
        <v>18001</v>
      </c>
      <c r="H20" s="7">
        <v>43001</v>
      </c>
    </row>
    <row r="21" spans="2:8" s="2" customFormat="1" ht="11.25">
      <c r="B21" s="2" t="s">
        <v>14</v>
      </c>
      <c r="C21" s="7">
        <f aca="true" t="shared" si="3" ref="C21:H21">SUM(C22:C23)</f>
        <v>57142</v>
      </c>
      <c r="D21" s="7">
        <f t="shared" si="3"/>
        <v>74017</v>
      </c>
      <c r="E21" s="7">
        <f t="shared" si="3"/>
        <v>63034</v>
      </c>
      <c r="F21" s="7">
        <f t="shared" si="3"/>
        <v>54208</v>
      </c>
      <c r="G21" s="7">
        <f t="shared" si="3"/>
        <v>51553</v>
      </c>
      <c r="H21" s="7">
        <f t="shared" si="3"/>
        <v>46887</v>
      </c>
    </row>
    <row r="22" spans="2:8" s="2" customFormat="1" ht="11.25">
      <c r="B22" s="2" t="s">
        <v>18</v>
      </c>
      <c r="C22" s="7">
        <v>25709</v>
      </c>
      <c r="D22" s="7">
        <v>46965</v>
      </c>
      <c r="E22" s="7">
        <v>33201</v>
      </c>
      <c r="F22" s="7">
        <v>22839</v>
      </c>
      <c r="G22" s="7">
        <v>21988</v>
      </c>
      <c r="H22" s="7">
        <v>22984</v>
      </c>
    </row>
    <row r="23" spans="2:8" s="2" customFormat="1" ht="11.25">
      <c r="B23" s="2" t="s">
        <v>19</v>
      </c>
      <c r="C23" s="7">
        <v>31433</v>
      </c>
      <c r="D23" s="7">
        <v>27052</v>
      </c>
      <c r="E23" s="7">
        <v>29833</v>
      </c>
      <c r="F23" s="7">
        <v>31369</v>
      </c>
      <c r="G23" s="7">
        <v>29565</v>
      </c>
      <c r="H23" s="7">
        <v>23903</v>
      </c>
    </row>
    <row r="24" spans="1:8" s="2" customFormat="1" ht="11.25">
      <c r="A24" s="3" t="s">
        <v>20</v>
      </c>
      <c r="B24" s="3"/>
      <c r="C24" s="8">
        <v>20097</v>
      </c>
      <c r="D24" s="8">
        <v>21704</v>
      </c>
      <c r="E24" s="8">
        <v>21198</v>
      </c>
      <c r="F24" s="8">
        <v>21620</v>
      </c>
      <c r="G24" s="8">
        <v>22015</v>
      </c>
      <c r="H24" s="8">
        <v>23646</v>
      </c>
    </row>
    <row r="25" spans="1:8" s="2" customFormat="1" ht="11.25">
      <c r="A25" s="5" t="s">
        <v>21</v>
      </c>
      <c r="C25" s="7"/>
      <c r="D25" s="7"/>
      <c r="E25" s="7"/>
      <c r="F25" s="7"/>
      <c r="G25" s="7"/>
      <c r="H25" s="7"/>
    </row>
    <row r="26" spans="1:8" s="2" customFormat="1" ht="11.25">
      <c r="A26" s="2" t="s">
        <v>10</v>
      </c>
      <c r="C26" s="7">
        <f>(244824+230619)/2</f>
        <v>237721.5</v>
      </c>
      <c r="D26" s="7">
        <f>(D10+257946)/2</f>
        <v>250973.5</v>
      </c>
      <c r="E26" s="7">
        <f>(E10+263031)/2</f>
        <v>245619.5</v>
      </c>
      <c r="F26" s="7">
        <f>(F10+255437)/2</f>
        <v>233950.5</v>
      </c>
      <c r="G26" s="7">
        <f>(G10+H10)/2</f>
        <v>251361</v>
      </c>
      <c r="H26" s="7">
        <f>(H10+236922)/2</f>
        <v>254512.5</v>
      </c>
    </row>
    <row r="27" spans="1:8" s="2" customFormat="1" ht="11.25">
      <c r="A27" s="2" t="s">
        <v>22</v>
      </c>
      <c r="C27" s="7">
        <f aca="true" t="shared" si="4" ref="C27:H27">C28+C29</f>
        <v>160844.5</v>
      </c>
      <c r="D27" s="7">
        <f t="shared" si="4"/>
        <v>163710</v>
      </c>
      <c r="E27" s="7">
        <f t="shared" si="4"/>
        <v>163937</v>
      </c>
      <c r="F27" s="7">
        <f t="shared" si="4"/>
        <v>154138</v>
      </c>
      <c r="G27" s="7">
        <f t="shared" si="4"/>
        <v>160756.5</v>
      </c>
      <c r="H27" s="7">
        <f t="shared" si="4"/>
        <v>156583</v>
      </c>
    </row>
    <row r="28" spans="2:8" s="2" customFormat="1" ht="11.25">
      <c r="B28" s="2" t="s">
        <v>12</v>
      </c>
      <c r="C28" s="7">
        <f>(C12+G12)/2</f>
        <v>150827</v>
      </c>
      <c r="D28" s="7">
        <f>(D12+145481)/2</f>
        <v>154192.5</v>
      </c>
      <c r="E28" s="7">
        <f>(E12+145814)/2</f>
        <v>154479</v>
      </c>
      <c r="F28" s="7">
        <f>(F12+142296)/2</f>
        <v>144679.5</v>
      </c>
      <c r="G28" s="7">
        <f>(G12+H12)/2</f>
        <v>151184.5</v>
      </c>
      <c r="H28" s="7">
        <f>(H12+147773)/2</f>
        <v>147624.5</v>
      </c>
    </row>
    <row r="29" spans="2:8" s="2" customFormat="1" ht="11.25">
      <c r="B29" s="2" t="s">
        <v>15</v>
      </c>
      <c r="C29" s="7">
        <f>(C15+G15)/2</f>
        <v>10017.5</v>
      </c>
      <c r="D29" s="7">
        <f>(D15+9126)/2</f>
        <v>9517.5</v>
      </c>
      <c r="E29" s="7">
        <f>(E15+9081)/2</f>
        <v>9458</v>
      </c>
      <c r="F29" s="7">
        <f>(F15+9081)/2</f>
        <v>9458.5</v>
      </c>
      <c r="G29" s="7">
        <f>(G15+H15)/2</f>
        <v>9572</v>
      </c>
      <c r="H29" s="7">
        <f>(H15+8899)/2</f>
        <v>8958.5</v>
      </c>
    </row>
    <row r="30" spans="1:8" s="2" customFormat="1" ht="11.25">
      <c r="A30" s="3" t="s">
        <v>20</v>
      </c>
      <c r="B30" s="3"/>
      <c r="C30" s="8">
        <f>(C24+G24)/2</f>
        <v>21056</v>
      </c>
      <c r="D30" s="8">
        <f>(D24+21750)/2</f>
        <v>21727</v>
      </c>
      <c r="E30" s="8">
        <f>(E24+20360)/2</f>
        <v>20779</v>
      </c>
      <c r="F30" s="8">
        <f>(F24+24119)/2</f>
        <v>22869.5</v>
      </c>
      <c r="G30" s="8">
        <f>(G24+H24)/2</f>
        <v>22830.5</v>
      </c>
      <c r="H30" s="8">
        <f>(H24+22075)/2</f>
        <v>22860.5</v>
      </c>
    </row>
    <row r="31" s="2" customFormat="1" ht="11.25">
      <c r="A31" s="5" t="s">
        <v>23</v>
      </c>
    </row>
    <row r="32" spans="1:8" s="2" customFormat="1" ht="11.25">
      <c r="A32" s="2" t="s">
        <v>24</v>
      </c>
      <c r="C32" s="7">
        <f>4810+D32</f>
        <v>17265</v>
      </c>
      <c r="D32" s="7">
        <f>4198+E32</f>
        <v>12455</v>
      </c>
      <c r="E32" s="7">
        <f>4147+F32</f>
        <v>8257</v>
      </c>
      <c r="F32" s="7">
        <v>4110</v>
      </c>
      <c r="G32" s="7">
        <v>17028</v>
      </c>
      <c r="H32" s="7">
        <v>16495</v>
      </c>
    </row>
    <row r="33" spans="1:8" s="2" customFormat="1" ht="11.25">
      <c r="A33" s="2" t="s">
        <v>25</v>
      </c>
      <c r="C33" s="7">
        <f>3032+D33</f>
        <v>10362</v>
      </c>
      <c r="D33" s="7">
        <f>2485+E33</f>
        <v>7330</v>
      </c>
      <c r="E33" s="7">
        <f>2459+F33</f>
        <v>4845</v>
      </c>
      <c r="F33" s="7">
        <v>2386</v>
      </c>
      <c r="G33" s="7">
        <v>9884</v>
      </c>
      <c r="H33" s="7">
        <v>8680</v>
      </c>
    </row>
    <row r="34" spans="1:8" s="2" customFormat="1" ht="11.25">
      <c r="A34" s="2" t="s">
        <v>26</v>
      </c>
      <c r="C34" s="7">
        <f aca="true" t="shared" si="5" ref="C34:H34">C32-C33</f>
        <v>6903</v>
      </c>
      <c r="D34" s="7">
        <f t="shared" si="5"/>
        <v>5125</v>
      </c>
      <c r="E34" s="7">
        <f t="shared" si="5"/>
        <v>3412</v>
      </c>
      <c r="F34" s="7">
        <f t="shared" si="5"/>
        <v>1724</v>
      </c>
      <c r="G34" s="7">
        <f t="shared" si="5"/>
        <v>7144</v>
      </c>
      <c r="H34" s="7">
        <f t="shared" si="5"/>
        <v>7815</v>
      </c>
    </row>
    <row r="35" spans="1:8" s="2" customFormat="1" ht="11.25">
      <c r="A35" s="2" t="s">
        <v>27</v>
      </c>
      <c r="C35" s="7">
        <f>3677+D35</f>
        <v>5264</v>
      </c>
      <c r="D35" s="7">
        <f>532+E35</f>
        <v>1587</v>
      </c>
      <c r="E35" s="7">
        <f>553+F35</f>
        <v>1055</v>
      </c>
      <c r="F35" s="7">
        <v>502</v>
      </c>
      <c r="G35" s="7">
        <v>4554</v>
      </c>
      <c r="H35" s="7">
        <v>3263</v>
      </c>
    </row>
    <row r="36" spans="1:8" s="2" customFormat="1" ht="11.25">
      <c r="A36" s="2" t="s">
        <v>28</v>
      </c>
      <c r="C36" s="7">
        <f aca="true" t="shared" si="6" ref="C36:H36">C34+C35</f>
        <v>12167</v>
      </c>
      <c r="D36" s="7">
        <f t="shared" si="6"/>
        <v>6712</v>
      </c>
      <c r="E36" s="7">
        <f t="shared" si="6"/>
        <v>4467</v>
      </c>
      <c r="F36" s="7">
        <f t="shared" si="6"/>
        <v>2226</v>
      </c>
      <c r="G36" s="7">
        <f t="shared" si="6"/>
        <v>11698</v>
      </c>
      <c r="H36" s="7">
        <f t="shared" si="6"/>
        <v>11078</v>
      </c>
    </row>
    <row r="37" spans="1:8" s="2" customFormat="1" ht="11.25">
      <c r="A37" s="2" t="s">
        <v>29</v>
      </c>
      <c r="C37" s="7">
        <f>685+D37</f>
        <v>5985</v>
      </c>
      <c r="D37" s="7">
        <f>1667+E37</f>
        <v>5300</v>
      </c>
      <c r="E37" s="7">
        <f>1782+F37</f>
        <v>3633</v>
      </c>
      <c r="F37" s="7">
        <v>1851</v>
      </c>
      <c r="G37" s="7">
        <v>6373</v>
      </c>
      <c r="H37" s="7">
        <v>7097</v>
      </c>
    </row>
    <row r="38" spans="1:8" s="2" customFormat="1" ht="11.25">
      <c r="A38" s="2" t="s">
        <v>30</v>
      </c>
      <c r="C38" s="7">
        <f aca="true" t="shared" si="7" ref="C38:H38">C36-C37</f>
        <v>6182</v>
      </c>
      <c r="D38" s="7">
        <f t="shared" si="7"/>
        <v>1412</v>
      </c>
      <c r="E38" s="7">
        <f t="shared" si="7"/>
        <v>834</v>
      </c>
      <c r="F38" s="7">
        <f t="shared" si="7"/>
        <v>375</v>
      </c>
      <c r="G38" s="7">
        <f t="shared" si="7"/>
        <v>5325</v>
      </c>
      <c r="H38" s="7">
        <f t="shared" si="7"/>
        <v>3981</v>
      </c>
    </row>
    <row r="39" spans="1:8" s="2" customFormat="1" ht="11.25">
      <c r="A39" s="3" t="s">
        <v>31</v>
      </c>
      <c r="B39" s="3"/>
      <c r="C39" s="8">
        <f>-1608+D39</f>
        <v>-197</v>
      </c>
      <c r="D39" s="8">
        <f>578+E39</f>
        <v>1411</v>
      </c>
      <c r="E39" s="8">
        <f>459+F39</f>
        <v>833</v>
      </c>
      <c r="F39" s="8">
        <v>374</v>
      </c>
      <c r="G39" s="8">
        <v>909</v>
      </c>
      <c r="H39" s="8">
        <v>3647</v>
      </c>
    </row>
    <row r="40" spans="1:8" s="2" customFormat="1" ht="11.25">
      <c r="A40" s="5" t="s">
        <v>32</v>
      </c>
      <c r="C40" s="7"/>
      <c r="D40" s="7"/>
      <c r="E40" s="7"/>
      <c r="F40" s="7"/>
      <c r="G40" s="7"/>
      <c r="H40" s="7"/>
    </row>
    <row r="41" spans="1:8" s="2" customFormat="1" ht="11.25">
      <c r="A41" s="2" t="s">
        <v>33</v>
      </c>
      <c r="C41" s="7">
        <v>7207</v>
      </c>
      <c r="D41" s="7">
        <v>7084</v>
      </c>
      <c r="E41" s="7">
        <v>7194</v>
      </c>
      <c r="F41" s="7">
        <v>4212</v>
      </c>
      <c r="G41" s="7">
        <v>4961</v>
      </c>
      <c r="H41" s="7">
        <v>315</v>
      </c>
    </row>
    <row r="42" spans="1:8" s="2" customFormat="1" ht="11.25">
      <c r="A42" s="2" t="s">
        <v>34</v>
      </c>
      <c r="C42" s="7">
        <v>6320</v>
      </c>
      <c r="D42" s="7">
        <v>4999</v>
      </c>
      <c r="E42" s="7">
        <v>5951</v>
      </c>
      <c r="F42" s="7">
        <v>11990</v>
      </c>
      <c r="G42" s="7">
        <v>12772</v>
      </c>
      <c r="H42" s="7">
        <v>1382</v>
      </c>
    </row>
    <row r="43" spans="1:8" s="2" customFormat="1" ht="11.25">
      <c r="A43" s="2" t="s">
        <v>35</v>
      </c>
      <c r="C43" s="9">
        <f aca="true" t="shared" si="8" ref="C43:H43">C41/C12</f>
        <v>0.049107051600902146</v>
      </c>
      <c r="D43" s="9">
        <f t="shared" si="8"/>
        <v>0.04348573392918529</v>
      </c>
      <c r="E43" s="9">
        <f t="shared" si="8"/>
        <v>0.044096013337910064</v>
      </c>
      <c r="F43" s="9">
        <f t="shared" si="8"/>
        <v>0.028640786601660514</v>
      </c>
      <c r="G43" s="9">
        <f t="shared" si="8"/>
        <v>0.03202856165223735</v>
      </c>
      <c r="H43" s="9">
        <f t="shared" si="8"/>
        <v>0.002135940763242833</v>
      </c>
    </row>
    <row r="44" spans="1:8" s="2" customFormat="1" ht="11.25">
      <c r="A44" s="2" t="s">
        <v>36</v>
      </c>
      <c r="C44" s="9">
        <f aca="true" t="shared" si="9" ref="C44:H44">(C42)/C12</f>
        <v>0.04306321161616506</v>
      </c>
      <c r="D44" s="9">
        <f t="shared" si="9"/>
        <v>0.030686784854883856</v>
      </c>
      <c r="E44" s="9">
        <f t="shared" si="9"/>
        <v>0.03647697739420389</v>
      </c>
      <c r="F44" s="9">
        <f t="shared" si="9"/>
        <v>0.08152968455695858</v>
      </c>
      <c r="G44" s="9">
        <f t="shared" si="9"/>
        <v>0.08245692187510087</v>
      </c>
      <c r="H44" s="9">
        <f t="shared" si="9"/>
        <v>0.009371016300957444</v>
      </c>
    </row>
    <row r="45" spans="1:8" s="2" customFormat="1" ht="11.25">
      <c r="A45" s="10" t="s">
        <v>37</v>
      </c>
      <c r="C45" s="9">
        <f aca="true" t="shared" si="10" ref="C45:H45">(C41+C42)/C12</f>
        <v>0.0921702632170672</v>
      </c>
      <c r="D45" s="9">
        <f t="shared" si="10"/>
        <v>0.07417251878406915</v>
      </c>
      <c r="E45" s="9">
        <f t="shared" si="10"/>
        <v>0.08057299073211396</v>
      </c>
      <c r="F45" s="9">
        <f t="shared" si="10"/>
        <v>0.1101704711586191</v>
      </c>
      <c r="G45" s="9">
        <f t="shared" si="10"/>
        <v>0.11448548352733823</v>
      </c>
      <c r="H45" s="9">
        <f t="shared" si="10"/>
        <v>0.011506957064200277</v>
      </c>
    </row>
    <row r="46" spans="1:8" s="2" customFormat="1" ht="11.25">
      <c r="A46" s="2" t="s">
        <v>38</v>
      </c>
      <c r="C46" s="9">
        <v>0.045</v>
      </c>
      <c r="D46" s="9">
        <v>0.0329</v>
      </c>
      <c r="E46" s="9">
        <v>0.0329</v>
      </c>
      <c r="F46" s="9">
        <v>0.0369</v>
      </c>
      <c r="G46" s="9">
        <v>0.0352</v>
      </c>
      <c r="H46" s="9">
        <f>(3357/H12)</f>
        <v>0.022763025848273617</v>
      </c>
    </row>
    <row r="47" spans="1:8" s="2" customFormat="1" ht="11.25">
      <c r="A47" s="3" t="s">
        <v>39</v>
      </c>
      <c r="B47" s="3"/>
      <c r="C47" s="11">
        <v>0.488</v>
      </c>
      <c r="D47" s="11">
        <v>0.4429</v>
      </c>
      <c r="E47" s="11">
        <v>0.4088</v>
      </c>
      <c r="F47" s="11">
        <v>0.3346</v>
      </c>
      <c r="G47" s="11">
        <v>0.3072</v>
      </c>
      <c r="H47" s="11">
        <f>3357/(H41+H42)</f>
        <v>1.9781968179139657</v>
      </c>
    </row>
    <row r="48" s="2" customFormat="1" ht="11.25">
      <c r="A48" s="5" t="s">
        <v>40</v>
      </c>
    </row>
    <row r="49" spans="1:8" s="2" customFormat="1" ht="11.25">
      <c r="A49" s="2" t="s">
        <v>41</v>
      </c>
      <c r="C49" s="9">
        <f aca="true" t="shared" si="11" ref="C49:H49">C24/(C12+C15)</f>
        <v>0.1282759941277845</v>
      </c>
      <c r="D49" s="9">
        <f t="shared" si="11"/>
        <v>0.12559240334928506</v>
      </c>
      <c r="E49" s="9">
        <f t="shared" si="11"/>
        <v>0.12254666751455379</v>
      </c>
      <c r="F49" s="9">
        <f t="shared" si="11"/>
        <v>0.13779565197993612</v>
      </c>
      <c r="G49" s="9">
        <f t="shared" si="11"/>
        <v>0.13340888018955394</v>
      </c>
      <c r="H49" s="9">
        <f t="shared" si="11"/>
        <v>0.1510984446688052</v>
      </c>
    </row>
    <row r="50" spans="1:8" s="2" customFormat="1" ht="11.25">
      <c r="A50" s="3" t="s">
        <v>42</v>
      </c>
      <c r="B50" s="3"/>
      <c r="C50" s="11">
        <f aca="true" t="shared" si="12" ref="C50:H50">C24/C10</f>
        <v>0.08208754043721204</v>
      </c>
      <c r="D50" s="11">
        <f t="shared" si="12"/>
        <v>0.08895045512108557</v>
      </c>
      <c r="E50" s="11">
        <f t="shared" si="12"/>
        <v>0.09288894342003785</v>
      </c>
      <c r="F50" s="11">
        <f t="shared" si="12"/>
        <v>0.1017584155433391</v>
      </c>
      <c r="G50" s="11">
        <f t="shared" si="12"/>
        <v>0.09546047810457942</v>
      </c>
      <c r="H50" s="11">
        <f t="shared" si="12"/>
        <v>0.08690091619717534</v>
      </c>
    </row>
    <row r="51" spans="1:8" s="2" customFormat="1" ht="11.25">
      <c r="A51" s="5" t="s">
        <v>43</v>
      </c>
      <c r="C51" s="12"/>
      <c r="D51" s="12"/>
      <c r="E51" s="12"/>
      <c r="F51" s="12"/>
      <c r="G51" s="12"/>
      <c r="H51" s="12"/>
    </row>
    <row r="52" spans="1:8" s="2" customFormat="1" ht="11.25">
      <c r="A52" s="2" t="s">
        <v>44</v>
      </c>
      <c r="C52" s="12">
        <f aca="true" t="shared" si="13" ref="C52:H52">C11/C16</f>
        <v>0.38576889296977923</v>
      </c>
      <c r="D52" s="12">
        <f t="shared" si="13"/>
        <v>0.30477664836234764</v>
      </c>
      <c r="E52" s="12">
        <f t="shared" si="13"/>
        <v>0.23573768112937665</v>
      </c>
      <c r="F52" s="12">
        <f t="shared" si="13"/>
        <v>0.2567796899736899</v>
      </c>
      <c r="G52" s="12">
        <f t="shared" si="13"/>
        <v>0.27160196414109833</v>
      </c>
      <c r="H52" s="12">
        <f t="shared" si="13"/>
        <v>0.45046548170175377</v>
      </c>
    </row>
    <row r="53" spans="1:8" s="2" customFormat="1" ht="11.25">
      <c r="A53" s="2" t="s">
        <v>45</v>
      </c>
      <c r="C53" s="12">
        <f aca="true" t="shared" si="14" ref="C53:H53">C11/C10</f>
        <v>0.3157574420808417</v>
      </c>
      <c r="D53" s="12">
        <f t="shared" si="14"/>
        <v>0.25658091565198504</v>
      </c>
      <c r="E53" s="12">
        <f t="shared" si="14"/>
        <v>0.19932254785108322</v>
      </c>
      <c r="F53" s="12">
        <f t="shared" si="14"/>
        <v>0.2122241885684163</v>
      </c>
      <c r="G53" s="12">
        <f t="shared" si="14"/>
        <v>0.22976857934515368</v>
      </c>
      <c r="H53" s="12">
        <f t="shared" si="14"/>
        <v>0.39192879167080114</v>
      </c>
    </row>
    <row r="54" spans="1:8" s="2" customFormat="1" ht="11.25">
      <c r="A54" s="3" t="s">
        <v>46</v>
      </c>
      <c r="B54" s="3"/>
      <c r="C54" s="13">
        <f aca="true" t="shared" si="15" ref="C54:H54">(C11+C15)/C16</f>
        <v>0.43521697472953014</v>
      </c>
      <c r="D54" s="13">
        <f t="shared" si="15"/>
        <v>0.3530153444717062</v>
      </c>
      <c r="E54" s="13">
        <f t="shared" si="15"/>
        <v>0.2867078504944132</v>
      </c>
      <c r="F54" s="13">
        <f t="shared" si="15"/>
        <v>0.31279399537580155</v>
      </c>
      <c r="G54" s="13">
        <f t="shared" si="15"/>
        <v>0.3235040851264493</v>
      </c>
      <c r="H54" s="13">
        <f t="shared" si="15"/>
        <v>0.4885572601628764</v>
      </c>
    </row>
    <row r="55" s="2" customFormat="1" ht="11.25">
      <c r="A55" s="5" t="s">
        <v>47</v>
      </c>
    </row>
    <row r="56" spans="1:8" s="2" customFormat="1" ht="11.25">
      <c r="A56" s="2" t="s">
        <v>48</v>
      </c>
      <c r="C56" s="9">
        <f>C39/C27</f>
        <v>-0.0012247854294054196</v>
      </c>
      <c r="D56" s="9">
        <f>(D39/0.75)/D27</f>
        <v>0.011491865697473173</v>
      </c>
      <c r="E56" s="9">
        <f>(E39/0.5)/E27</f>
        <v>0.01016244044968494</v>
      </c>
      <c r="F56" s="9">
        <f>((F39)/0.25)/F27</f>
        <v>0.009705588498618122</v>
      </c>
      <c r="G56" s="9">
        <f>G39/G27</f>
        <v>0.005654514747459667</v>
      </c>
      <c r="H56" s="9">
        <f>H39/H27</f>
        <v>0.023291161875810273</v>
      </c>
    </row>
    <row r="57" spans="1:8" s="2" customFormat="1" ht="11.25">
      <c r="A57" s="2" t="s">
        <v>49</v>
      </c>
      <c r="C57" s="9">
        <f>C39/C26</f>
        <v>-0.0008287008116640691</v>
      </c>
      <c r="D57" s="9">
        <f>(D39/0.75)/D26</f>
        <v>0.007496143351124056</v>
      </c>
      <c r="E57" s="9">
        <f>(E39/0.5)/E26</f>
        <v>0.0067828490816079345</v>
      </c>
      <c r="F57" s="9">
        <f>((F39)/0.25)/F26</f>
        <v>0.006394515079044498</v>
      </c>
      <c r="G57" s="9">
        <f>G39/G26</f>
        <v>0.0036163127931540693</v>
      </c>
      <c r="H57" s="9">
        <f>H39/H26</f>
        <v>0.014329355139727912</v>
      </c>
    </row>
    <row r="58" spans="1:8" s="2" customFormat="1" ht="11.25">
      <c r="A58" s="2" t="s">
        <v>50</v>
      </c>
      <c r="C58" s="9">
        <f>C39/C30</f>
        <v>-0.009356003039513679</v>
      </c>
      <c r="D58" s="9">
        <f>(D39/0.75)/D30</f>
        <v>0.08658965035823322</v>
      </c>
      <c r="E58" s="9">
        <f>(E39/0.5)/E30</f>
        <v>0.0801771018817075</v>
      </c>
      <c r="F58" s="9">
        <f>((F39)/0.25)/F30</f>
        <v>0.06541463521283807</v>
      </c>
      <c r="G58" s="9">
        <f>G39/G30</f>
        <v>0.03981515954534504</v>
      </c>
      <c r="H58" s="9">
        <f>H39/H30</f>
        <v>0.1595328186172656</v>
      </c>
    </row>
    <row r="59" spans="1:8" s="2" customFormat="1" ht="11.25">
      <c r="A59" s="2" t="s">
        <v>51</v>
      </c>
      <c r="C59" s="9">
        <f>C32/C26</f>
        <v>0.07262700260599063</v>
      </c>
      <c r="D59" s="9">
        <f>(D32/0.75)/D26</f>
        <v>0.06616900456289874</v>
      </c>
      <c r="E59" s="9">
        <f>(E32/0.5)/E26</f>
        <v>0.06723407547039222</v>
      </c>
      <c r="F59" s="9">
        <f>((F32)/0.25)/F26</f>
        <v>0.07027127533388473</v>
      </c>
      <c r="G59" s="9">
        <f>G32/G26</f>
        <v>0.0677432059866089</v>
      </c>
      <c r="H59" s="9">
        <f>H32/H26</f>
        <v>0.06481017631746967</v>
      </c>
    </row>
    <row r="60" spans="1:8" s="2" customFormat="1" ht="11.25">
      <c r="A60" s="2" t="s">
        <v>52</v>
      </c>
      <c r="C60" s="9">
        <f>C33/C26</f>
        <v>0.04358882137290906</v>
      </c>
      <c r="D60" s="9">
        <f>(D33/0.75)/D26</f>
        <v>0.03894169437543539</v>
      </c>
      <c r="E60" s="9">
        <f>(E33/0.5)/E26</f>
        <v>0.03945126506649513</v>
      </c>
      <c r="F60" s="9">
        <f>((F33)/0.25)/F26</f>
        <v>0.04079495448823576</v>
      </c>
      <c r="G60" s="9">
        <f>G33/G26</f>
        <v>0.03932193140542885</v>
      </c>
      <c r="H60" s="9">
        <f>H33/H26</f>
        <v>0.034104415303767004</v>
      </c>
    </row>
    <row r="61" spans="1:8" s="2" customFormat="1" ht="11.25">
      <c r="A61" s="2" t="s">
        <v>53</v>
      </c>
      <c r="C61" s="9">
        <f>C34/C26</f>
        <v>0.029038181233081568</v>
      </c>
      <c r="D61" s="9">
        <f>(D34)/0.75/D26</f>
        <v>0.02722731018746335</v>
      </c>
      <c r="E61" s="9">
        <f>(E34/0.5)/E26</f>
        <v>0.027782810403897084</v>
      </c>
      <c r="F61" s="9">
        <f>((F34)/0.25)/F26</f>
        <v>0.02947632084564897</v>
      </c>
      <c r="G61" s="9">
        <f>G34/G26</f>
        <v>0.028421274581180055</v>
      </c>
      <c r="H61" s="9">
        <f>H34/H26</f>
        <v>0.030705761013702666</v>
      </c>
    </row>
    <row r="62" spans="1:8" s="2" customFormat="1" ht="11.25">
      <c r="A62" s="2" t="s">
        <v>54</v>
      </c>
      <c r="C62" s="9">
        <f>C37/C36</f>
        <v>0.4919043313881811</v>
      </c>
      <c r="D62" s="9">
        <f>(D37/0.75)/(D36/0.75)</f>
        <v>0.7896305125148987</v>
      </c>
      <c r="E62" s="9">
        <f>(E37/0.5)/(E36/0.5)</f>
        <v>0.8132975151108126</v>
      </c>
      <c r="F62" s="9">
        <f>(F37/0.25)/(F36/0.25)</f>
        <v>0.8315363881401617</v>
      </c>
      <c r="G62" s="9">
        <f>G37/G36</f>
        <v>0.5447939818772439</v>
      </c>
      <c r="H62" s="9">
        <f>H37/H36</f>
        <v>0.6406391045315039</v>
      </c>
    </row>
    <row r="63" spans="1:8" s="2" customFormat="1" ht="11.25">
      <c r="A63" s="3" t="s">
        <v>55</v>
      </c>
      <c r="B63" s="3"/>
      <c r="C63" s="11">
        <f>C35/C26</f>
        <v>0.02214355874416071</v>
      </c>
      <c r="D63" s="11">
        <f>(D35/0.75)/D26</f>
        <v>0.008431169027805725</v>
      </c>
      <c r="E63" s="11">
        <f>(E35/0.5)/E26</f>
        <v>0.008590523146574275</v>
      </c>
      <c r="F63" s="11">
        <f>(F35/0.25)/F26</f>
        <v>0.008583012218396626</v>
      </c>
      <c r="G63" s="11">
        <f>G35/G26</f>
        <v>0.01811736904293029</v>
      </c>
      <c r="H63" s="11">
        <f>H35/H26</f>
        <v>0.012820588379745592</v>
      </c>
    </row>
    <row r="64" s="2" customFormat="1" ht="11.25">
      <c r="A64" s="5" t="s">
        <v>56</v>
      </c>
    </row>
    <row r="65" spans="1:8" s="2" customFormat="1" ht="11.25">
      <c r="A65" s="2" t="s">
        <v>57</v>
      </c>
      <c r="C65" s="7">
        <v>87</v>
      </c>
      <c r="D65" s="7">
        <v>80</v>
      </c>
      <c r="E65" s="7">
        <v>80</v>
      </c>
      <c r="F65" s="7">
        <v>87</v>
      </c>
      <c r="G65" s="7">
        <v>88</v>
      </c>
      <c r="H65" s="7">
        <v>83</v>
      </c>
    </row>
    <row r="66" spans="1:8" s="2" customFormat="1" ht="11.25">
      <c r="A66" s="2" t="s">
        <v>58</v>
      </c>
      <c r="C66" s="7">
        <v>2</v>
      </c>
      <c r="D66" s="7">
        <v>2</v>
      </c>
      <c r="E66" s="7">
        <v>2</v>
      </c>
      <c r="F66" s="7">
        <v>2</v>
      </c>
      <c r="G66" s="7">
        <v>2</v>
      </c>
      <c r="H66" s="7">
        <v>2</v>
      </c>
    </row>
    <row r="67" spans="1:8" s="2" customFormat="1" ht="11.25">
      <c r="A67" s="2" t="s">
        <v>59</v>
      </c>
      <c r="C67" s="7">
        <f aca="true" t="shared" si="16" ref="C67:H67">C12/C65</f>
        <v>1686.9080459770114</v>
      </c>
      <c r="D67" s="7">
        <f t="shared" si="16"/>
        <v>2036.3</v>
      </c>
      <c r="E67" s="7">
        <f t="shared" si="16"/>
        <v>2039.3</v>
      </c>
      <c r="F67" s="7">
        <f t="shared" si="16"/>
        <v>1690.3793103448277</v>
      </c>
      <c r="G67" s="7">
        <f t="shared" si="16"/>
        <v>1760.1477272727273</v>
      </c>
      <c r="H67" s="7">
        <f t="shared" si="16"/>
        <v>1776.8192771084337</v>
      </c>
    </row>
    <row r="68" spans="1:8" s="2" customFormat="1" ht="11.25">
      <c r="A68" s="2" t="s">
        <v>60</v>
      </c>
      <c r="C68" s="7">
        <f aca="true" t="shared" si="17" ref="C68:H68">C16/C65</f>
        <v>2303.3563218390805</v>
      </c>
      <c r="D68" s="7">
        <f t="shared" si="17"/>
        <v>2567.7</v>
      </c>
      <c r="E68" s="7">
        <f t="shared" si="17"/>
        <v>2411.95</v>
      </c>
      <c r="F68" s="7">
        <f t="shared" si="17"/>
        <v>2018.367816091954</v>
      </c>
      <c r="G68" s="7">
        <f t="shared" si="17"/>
        <v>2217.0227272727275</v>
      </c>
      <c r="H68" s="7">
        <f t="shared" si="17"/>
        <v>2852.3373493975905</v>
      </c>
    </row>
    <row r="69" spans="1:8" s="2" customFormat="1" ht="11.25">
      <c r="A69" s="3" t="s">
        <v>61</v>
      </c>
      <c r="B69" s="3"/>
      <c r="C69" s="8">
        <f aca="true" t="shared" si="18" ref="C69:H69">(C39/C65)</f>
        <v>-2.264367816091954</v>
      </c>
      <c r="D69" s="8">
        <f t="shared" si="18"/>
        <v>17.6375</v>
      </c>
      <c r="E69" s="8">
        <f t="shared" si="18"/>
        <v>10.4125</v>
      </c>
      <c r="F69" s="8">
        <f t="shared" si="18"/>
        <v>4.2988505747126435</v>
      </c>
      <c r="G69" s="8">
        <f t="shared" si="18"/>
        <v>10.329545454545455</v>
      </c>
      <c r="H69" s="8">
        <f t="shared" si="18"/>
        <v>43.93975903614458</v>
      </c>
    </row>
    <row r="70" s="2" customFormat="1" ht="11.25">
      <c r="A70" s="5" t="s">
        <v>62</v>
      </c>
    </row>
    <row r="71" spans="1:8" s="2" customFormat="1" ht="11.25">
      <c r="A71" s="2" t="s">
        <v>63</v>
      </c>
      <c r="C71" s="9">
        <f>(C10/G10)-1</f>
        <v>0.0615950984090643</v>
      </c>
      <c r="D71" s="9">
        <f>(D10/257946)-1</f>
        <v>-0.054061702837027936</v>
      </c>
      <c r="E71" s="9">
        <f>(E10/263030)-1</f>
        <v>-0.13238794053910197</v>
      </c>
      <c r="F71" s="9">
        <f>(F10/255437)-1</f>
        <v>-0.16823326299635522</v>
      </c>
      <c r="G71" s="9">
        <f>(G10/H10)-1</f>
        <v>-0.152456974013517</v>
      </c>
      <c r="H71" s="9">
        <f>(H10/236922)-1</f>
        <v>0.14849190872945517</v>
      </c>
    </row>
    <row r="72" spans="1:8" s="2" customFormat="1" ht="11.25">
      <c r="A72" s="2" t="s">
        <v>64</v>
      </c>
      <c r="C72" s="9">
        <f>(C12/G12)-1</f>
        <v>-0.0525007585881867</v>
      </c>
      <c r="D72" s="9">
        <f>D12/145481-1</f>
        <v>0.11976134340566813</v>
      </c>
      <c r="E72" s="9">
        <f>E12/145814-1</f>
        <v>0.1188500418341174</v>
      </c>
      <c r="F72" s="9">
        <f>F12/142296-1</f>
        <v>0.03350059031877217</v>
      </c>
      <c r="G72" s="9">
        <f>(G12/H12)-1</f>
        <v>0.0502929290189591</v>
      </c>
      <c r="H72" s="9">
        <f>H12/147773-1</f>
        <v>-0.002009839415860859</v>
      </c>
    </row>
    <row r="73" spans="2:8" s="2" customFormat="1" ht="11.25">
      <c r="B73" s="2" t="s">
        <v>13</v>
      </c>
      <c r="C73" s="9">
        <f>(C13/G13)-1</f>
        <v>-0.021859477758969903</v>
      </c>
      <c r="D73" s="9">
        <f>(D13/129585)-1</f>
        <v>0.1793494617432574</v>
      </c>
      <c r="E73" s="9">
        <f>(E13/129697)-1</f>
        <v>0.1523396840327842</v>
      </c>
      <c r="F73" s="9">
        <f>(F13/125016)-1</f>
        <v>0.0990753183592501</v>
      </c>
      <c r="G73" s="9">
        <f>(G13/H13)-1</f>
        <v>0.07845968532331793</v>
      </c>
      <c r="H73" s="9">
        <f>(H13/134845)-1</f>
        <v>-0.008780451629648911</v>
      </c>
    </row>
    <row r="74" spans="2:8" s="2" customFormat="1" ht="11.25">
      <c r="B74" s="2" t="s">
        <v>14</v>
      </c>
      <c r="C74" s="9">
        <f>(C14/G14)-1</f>
        <v>-0.4635644485807352</v>
      </c>
      <c r="D74" s="9">
        <f>(D14/15895)-1</f>
        <v>-0.3659641396665618</v>
      </c>
      <c r="E74" s="9">
        <f>(E14/16117)-1</f>
        <v>-0.15064838369423594</v>
      </c>
      <c r="F74" s="9">
        <f>(F14/17280)-1</f>
        <v>-0.4409143518518519</v>
      </c>
      <c r="G74" s="9">
        <f>(G14/H14)-1</f>
        <v>-0.2222222222222222</v>
      </c>
      <c r="H74" s="9">
        <f>(H14/12928)-1</f>
        <v>0.06861076732673266</v>
      </c>
    </row>
    <row r="75" spans="1:8" s="2" customFormat="1" ht="11.25">
      <c r="A75" s="2" t="s">
        <v>65</v>
      </c>
      <c r="C75" s="9">
        <f>(C16/G16)-1</f>
        <v>0.02713508083117211</v>
      </c>
      <c r="D75" s="9">
        <f>D16/183926-1</f>
        <v>0.11684046844926765</v>
      </c>
      <c r="E75" s="9">
        <f>E16/228439-1</f>
        <v>-0.15532811822849868</v>
      </c>
      <c r="F75" s="9">
        <f>F16/220353-1</f>
        <v>-0.20310592549227835</v>
      </c>
      <c r="G75" s="9">
        <f>(G16/H16)-1</f>
        <v>-0.17591153313283547</v>
      </c>
      <c r="H75" s="9">
        <f>H16/204408-1</f>
        <v>0.15819341708739376</v>
      </c>
    </row>
    <row r="76" spans="2:8" s="2" customFormat="1" ht="11.25">
      <c r="B76" s="2" t="s">
        <v>13</v>
      </c>
      <c r="C76" s="9">
        <f>(C17/G17)-1</f>
        <v>-0.0020551046710091114</v>
      </c>
      <c r="D76" s="9">
        <f>(D17/158444)-1</f>
        <v>-0.17069122213526544</v>
      </c>
      <c r="E76" s="9">
        <f>(E17/181081)-1</f>
        <v>-0.282519977247751</v>
      </c>
      <c r="F76" s="9">
        <f>(F17/187497)-1</f>
        <v>-0.35257630788759287</v>
      </c>
      <c r="G76" s="9">
        <f>(G17/H17)-1</f>
        <v>-0.24393095856355052</v>
      </c>
      <c r="H76" s="9">
        <f>(H17/166129)-1</f>
        <v>0.14282876559781865</v>
      </c>
    </row>
    <row r="77" spans="2:8" s="2" customFormat="1" ht="11.25">
      <c r="B77" s="2" t="s">
        <v>14</v>
      </c>
      <c r="C77" s="9">
        <f>(C21/G21)-1</f>
        <v>0.1084127014916687</v>
      </c>
      <c r="D77" s="9">
        <f>(D21/25482)-1</f>
        <v>1.9046778117887135</v>
      </c>
      <c r="E77" s="9">
        <f>(E21/47358)-1</f>
        <v>0.3310106001098019</v>
      </c>
      <c r="F77" s="9">
        <f>(F21/32856)-1</f>
        <v>0.6498660822985147</v>
      </c>
      <c r="G77" s="9">
        <f>(G21/H21)-1</f>
        <v>0.09951585727387124</v>
      </c>
      <c r="H77" s="9">
        <f>(H21/38279)-1</f>
        <v>0.22487525797434627</v>
      </c>
    </row>
    <row r="78" spans="1:8" s="2" customFormat="1" ht="11.25">
      <c r="A78" s="2" t="s">
        <v>66</v>
      </c>
      <c r="C78" s="9">
        <f>(C24/G24)-1</f>
        <v>-0.08712241653418129</v>
      </c>
      <c r="D78" s="9">
        <f>(D24/21750)-1</f>
        <v>-0.002114942528735675</v>
      </c>
      <c r="E78" s="9">
        <f>(E24/20359)-1</f>
        <v>0.04121027555380907</v>
      </c>
      <c r="F78" s="9">
        <f>(F24/24119)-1</f>
        <v>-0.10361126083170946</v>
      </c>
      <c r="G78" s="9">
        <f>(G24/H24)-1</f>
        <v>-0.06897572528123153</v>
      </c>
      <c r="H78" s="9">
        <f>(H24/22075)-1</f>
        <v>0.07116647791619468</v>
      </c>
    </row>
    <row r="79" spans="1:8" s="2" customFormat="1" ht="11.25">
      <c r="A79" s="3" t="s">
        <v>67</v>
      </c>
      <c r="B79" s="3"/>
      <c r="C79" s="11">
        <f>(C39/G39)-1</f>
        <v>-1.2167216721672167</v>
      </c>
      <c r="D79" s="11">
        <f>(D39/1831)-1</f>
        <v>-0.22938285090114696</v>
      </c>
      <c r="E79" s="11">
        <f>(E39/441)-1</f>
        <v>0.8888888888888888</v>
      </c>
      <c r="F79" s="11">
        <f>(F39/472)-1</f>
        <v>-0.2076271186440678</v>
      </c>
      <c r="G79" s="11">
        <f>(G39/H39)-1</f>
        <v>-0.7507540444200713</v>
      </c>
      <c r="H79" s="11">
        <f>(H39/3158)-1</f>
        <v>0.1548448385053831</v>
      </c>
    </row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</sheetData>
  <sheetProtection password="CD66" sheet="1" objects="1" scenarios="1"/>
  <printOptions horizontalCentered="1"/>
  <pageMargins left="0.75" right="0.75" top="0.5905511811023623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2002-04-24T20:40:47Z</cp:lastPrinted>
  <dcterms:created xsi:type="dcterms:W3CDTF">2002-03-08T14:02:58Z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