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Brasil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<sst xmlns="http://schemas.openxmlformats.org/spreadsheetml/2006/main" count="80" uniqueCount="68">
  <si>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CUADRO No. 18-29    BANCO DO BRASIL, S.A.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</si>
  <si>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</si>
  <si>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</si>
  <si>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</si>
  <si>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</si>
  <si>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</si>
  <si>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</si>
  <si>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</si>
  <si>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</si>
  <si>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</si>
  <si>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</si>
  <si>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</si>
  <si>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</si>
  <si>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</si>
  <si>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</si>
  <si>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</si>
  <si>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</si>
  <si>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</si>
  <si>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</si>
  <si>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</si>
  <si>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</si>
  <si>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</si>
  <si>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</si>
  <si>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</si>
  <si>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</si>
  <si>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</si>
  <si>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</si>
  <si>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</si>
  <si>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</si>
  <si>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</si>
  <si>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</si>
  <si>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</si>
  <si>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</si>
  <si>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</si>
  <si>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</si>
  <si>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</si>
  <si>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</si>
  <si>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</si>
  <si>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</si>
  <si>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</si>
  <si>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</si>
  <si>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Activos Generadores de Ingreso</t>
  </si>
  <si>
    <t>Patrimonio /Activos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</si>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</sst>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33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_(* #,##0.0000_);_(* \(#,##0.0000\);_(* &quot;-&quot;??_);_(@_)"/>
    <numFmt numFmtId="183" formatCode="0.00000"/>
    <numFmt numFmtId="184" formatCode="0.0000"/>
    <numFmt numFmtId="185" formatCode="0.000"/>
    <numFmt numFmtId="186" formatCode="0.0"/>
    <numFmt numFmtId="187" formatCode="_ * #,##0.000_ ;_ * \-#,##0.000_ ;_ * &quot;-&quot;??_ ;_ @_ "/>
    <numFmt numFmtId="188" formatCode="_ * #,##0.0000_ ;_ * \-#,##0.0000_ ;_ * &quot;-&quot;??_ ;_ @_ "/>
  </numFmts>
  <fonts count="4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9" fontId="2" fillId="0" borderId="0" xfId="15" applyNumberFormat="1" applyFont="1" applyAlignment="1">
      <alignment/>
    </xf>
    <xf numFmtId="179" fontId="3" fillId="0" borderId="0" xfId="15" applyNumberFormat="1" applyFont="1" applyAlignment="1">
      <alignment/>
    </xf>
    <xf numFmtId="179" fontId="3" fillId="0" borderId="1" xfId="15" applyNumberFormat="1" applyFont="1" applyBorder="1" applyAlignment="1">
      <alignment/>
    </xf>
    <xf numFmtId="10" fontId="3" fillId="0" borderId="0" xfId="19" applyNumberFormat="1" applyFont="1" applyAlignment="1">
      <alignment/>
    </xf>
    <xf numFmtId="0" fontId="3" fillId="0" borderId="0" xfId="0" applyFont="1" applyBorder="1" applyAlignment="1">
      <alignment/>
    </xf>
    <xf numFmtId="10" fontId="3" fillId="0" borderId="1" xfId="19" applyNumberFormat="1" applyFont="1" applyBorder="1" applyAlignment="1">
      <alignment/>
    </xf>
    <xf numFmtId="181" fontId="3" fillId="0" borderId="0" xfId="19" applyNumberFormat="1" applyFont="1" applyAlignment="1">
      <alignment/>
    </xf>
    <xf numFmtId="181" fontId="3" fillId="0" borderId="1" xfId="19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304800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8" sqref="B8"/>
    </sheetView>
  </sheetViews>
  <sheetFormatPr defaultColWidth="11.421875" defaultRowHeight="12.75"/>
  <cols>
    <col min="1" max="1" width="3.140625" style="1" customWidth="1"/>
    <col min="2" max="2" width="34.140625" style="1" customWidth="1"/>
    <col min="3" max="3" width="11.421875" style="1" customWidth="1"/>
    <col min="4" max="5" width="8.421875" style="1" customWidth="1"/>
    <col min="6" max="6" width="9.00390625" style="1" customWidth="1"/>
    <col min="7" max="7" width="11.28125" style="1" customWidth="1"/>
    <col min="8" max="8" width="12.00390625" style="1" customWidth="1"/>
    <col min="9" max="16384" width="11.421875" style="1" customWidth="1"/>
  </cols>
  <sheetData>
    <row r="1" spans="2:8" s="2" customFormat="1" ht="11.25">
      <c r="B1" s="14"/>
      <c r="C1" s="14"/>
      <c r="D1" s="14"/>
      <c r="E1" s="14"/>
      <c r="F1" s="14"/>
      <c r="G1" s="14"/>
      <c r="H1" s="14"/>
    </row>
    <row r="2" spans="2:8" s="2" customFormat="1" ht="11.25">
      <c r="B2" s="14"/>
      <c r="C2" s="14"/>
      <c r="D2" s="14"/>
      <c r="E2" s="14"/>
      <c r="F2" s="14" t="s">
        <v>0</v>
      </c>
      <c r="G2" s="14"/>
      <c r="H2" s="14"/>
    </row>
    <row r="3" spans="2:8" s="2" customFormat="1" ht="11.25">
      <c r="B3" s="15"/>
      <c r="C3" s="15"/>
      <c r="D3" s="15"/>
      <c r="E3" s="15"/>
      <c r="F3" s="14" t="s">
        <v>1</v>
      </c>
      <c r="G3" s="15"/>
      <c r="H3" s="15"/>
    </row>
    <row r="4" spans="1:8" s="2" customFormat="1" ht="11.25">
      <c r="A4" s="15"/>
      <c r="B4" s="15"/>
      <c r="C4" s="15"/>
      <c r="D4" s="15"/>
      <c r="E4" s="15"/>
      <c r="F4" s="15" t="s">
        <v>2</v>
      </c>
      <c r="G4" s="15"/>
      <c r="H4" s="15"/>
    </row>
    <row r="5" spans="1:8" s="2" customFormat="1" ht="11.25">
      <c r="A5" s="15"/>
      <c r="B5" s="15"/>
      <c r="C5" s="15"/>
      <c r="D5" s="15"/>
      <c r="E5" s="15"/>
      <c r="F5" s="15"/>
      <c r="G5" s="15"/>
      <c r="H5" s="15"/>
    </row>
    <row r="6" spans="1:8" s="2" customFormat="1" ht="11.25">
      <c r="A6" s="15"/>
      <c r="B6" s="15"/>
      <c r="C6" s="15"/>
      <c r="D6" s="15"/>
      <c r="E6" s="15"/>
      <c r="F6" s="15"/>
      <c r="G6" s="15"/>
      <c r="H6" s="15"/>
    </row>
    <row r="7" spans="1:8" s="2" customFormat="1" ht="11.25">
      <c r="A7" s="15"/>
      <c r="B7" s="15"/>
      <c r="C7" s="15"/>
      <c r="D7" s="15"/>
      <c r="E7" s="15"/>
      <c r="F7" s="15"/>
      <c r="G7" s="15"/>
      <c r="H7" s="15"/>
    </row>
    <row r="8" spans="1:8" s="2" customFormat="1" ht="11.25">
      <c r="A8" s="16"/>
      <c r="B8" s="16"/>
      <c r="C8" s="16"/>
      <c r="D8" s="16"/>
      <c r="E8" s="16"/>
      <c r="F8" s="16"/>
      <c r="G8" s="16"/>
      <c r="H8" s="16"/>
    </row>
    <row r="9" spans="1:8" s="2" customFormat="1" ht="11.25">
      <c r="A9" s="4"/>
      <c r="B9" s="4"/>
      <c r="C9" s="4" t="s">
        <v>3</v>
      </c>
      <c r="D9" s="4" t="s">
        <v>4</v>
      </c>
      <c r="E9" s="4" t="s">
        <v>5</v>
      </c>
      <c r="F9" s="4" t="s">
        <v>6</v>
      </c>
      <c r="G9" s="4" t="s">
        <v>7</v>
      </c>
      <c r="H9" s="4" t="s">
        <v>8</v>
      </c>
    </row>
    <row r="10" spans="1:8" s="2" customFormat="1" ht="11.25">
      <c r="A10" s="5" t="s">
        <v>9</v>
      </c>
      <c r="B10" s="5"/>
      <c r="C10" s="6"/>
      <c r="D10" s="6"/>
      <c r="E10" s="6"/>
      <c r="F10" s="6"/>
      <c r="G10" s="6"/>
      <c r="H10" s="6"/>
    </row>
    <row r="11" spans="1:8" s="2" customFormat="1" ht="11.25">
      <c r="A11" s="2" t="s">
        <v>10</v>
      </c>
      <c r="C11" s="7">
        <v>277435</v>
      </c>
      <c r="D11" s="7">
        <v>367900</v>
      </c>
      <c r="E11" s="7">
        <v>281031</v>
      </c>
      <c r="F11" s="7">
        <v>293385</v>
      </c>
      <c r="G11" s="7">
        <v>253287</v>
      </c>
      <c r="H11" s="7">
        <v>212634</v>
      </c>
    </row>
    <row r="12" spans="1:8" s="2" customFormat="1" ht="11.25">
      <c r="A12" s="2" t="s">
        <v>11</v>
      </c>
      <c r="C12" s="7">
        <v>213025</v>
      </c>
      <c r="D12" s="7">
        <v>308390</v>
      </c>
      <c r="E12" s="7">
        <v>215969</v>
      </c>
      <c r="F12" s="7">
        <v>221733</v>
      </c>
      <c r="G12" s="7">
        <v>190262</v>
      </c>
      <c r="H12" s="7">
        <v>121806</v>
      </c>
    </row>
    <row r="13" spans="1:8" s="2" customFormat="1" ht="11.25">
      <c r="A13" s="2" t="s">
        <v>12</v>
      </c>
      <c r="C13" s="7">
        <f aca="true" t="shared" si="0" ref="C13:H13">C14+C15</f>
        <v>58554</v>
      </c>
      <c r="D13" s="7">
        <f t="shared" si="0"/>
        <v>49968</v>
      </c>
      <c r="E13" s="7">
        <f t="shared" si="0"/>
        <v>59974</v>
      </c>
      <c r="F13" s="7">
        <f t="shared" si="0"/>
        <v>62501</v>
      </c>
      <c r="G13" s="7">
        <f t="shared" si="0"/>
        <v>57449</v>
      </c>
      <c r="H13" s="7">
        <f t="shared" si="0"/>
        <v>85734</v>
      </c>
    </row>
    <row r="14" spans="2:8" s="2" customFormat="1" ht="11.25">
      <c r="B14" s="2" t="s">
        <v>13</v>
      </c>
      <c r="C14" s="7">
        <v>6657</v>
      </c>
      <c r="D14" s="7">
        <v>10105</v>
      </c>
      <c r="E14" s="7">
        <v>8394</v>
      </c>
      <c r="F14" s="7">
        <v>10205</v>
      </c>
      <c r="G14" s="7">
        <v>8321</v>
      </c>
      <c r="H14" s="7">
        <v>12971</v>
      </c>
    </row>
    <row r="15" spans="2:8" s="2" customFormat="1" ht="11.25">
      <c r="B15" s="2" t="s">
        <v>14</v>
      </c>
      <c r="C15" s="7">
        <v>51897</v>
      </c>
      <c r="D15" s="7">
        <v>39863</v>
      </c>
      <c r="E15" s="7">
        <v>51580</v>
      </c>
      <c r="F15" s="7">
        <v>52296</v>
      </c>
      <c r="G15" s="7">
        <v>49128</v>
      </c>
      <c r="H15" s="7">
        <v>72763</v>
      </c>
    </row>
    <row r="16" spans="1:8" s="2" customFormat="1" ht="11.25">
      <c r="A16" s="2" t="s">
        <v>15</v>
      </c>
      <c r="C16" s="7">
        <v>440</v>
      </c>
      <c r="D16" s="7">
        <v>474</v>
      </c>
      <c r="E16" s="7">
        <v>470</v>
      </c>
      <c r="F16" s="7">
        <v>451</v>
      </c>
      <c r="G16" s="7">
        <v>14</v>
      </c>
      <c r="H16" s="7">
        <v>32</v>
      </c>
    </row>
    <row r="17" spans="1:8" s="2" customFormat="1" ht="11.25">
      <c r="A17" s="2" t="s">
        <v>16</v>
      </c>
      <c r="C17" s="7">
        <f aca="true" t="shared" si="1" ref="C17:H17">C18+C22</f>
        <v>164207</v>
      </c>
      <c r="D17" s="7">
        <f t="shared" si="1"/>
        <v>180714</v>
      </c>
      <c r="E17" s="7">
        <f t="shared" si="1"/>
        <v>95537</v>
      </c>
      <c r="F17" s="7">
        <f t="shared" si="1"/>
        <v>105804</v>
      </c>
      <c r="G17" s="7">
        <f t="shared" si="1"/>
        <v>63300</v>
      </c>
      <c r="H17" s="7">
        <f t="shared" si="1"/>
        <v>52865</v>
      </c>
    </row>
    <row r="18" spans="2:8" s="2" customFormat="1" ht="11.25">
      <c r="B18" s="2" t="s">
        <v>13</v>
      </c>
      <c r="C18" s="7">
        <f aca="true" t="shared" si="2" ref="C18:H18">SUM(C19:C21)</f>
        <v>3424</v>
      </c>
      <c r="D18" s="7">
        <f t="shared" si="2"/>
        <v>3363</v>
      </c>
      <c r="E18" s="7">
        <f t="shared" si="2"/>
        <v>3658</v>
      </c>
      <c r="F18" s="7">
        <f t="shared" si="2"/>
        <v>3967</v>
      </c>
      <c r="G18" s="7">
        <f t="shared" si="2"/>
        <v>4779</v>
      </c>
      <c r="H18" s="7">
        <f t="shared" si="2"/>
        <v>5801</v>
      </c>
    </row>
    <row r="19" spans="2:8" s="2" customFormat="1" ht="11.25">
      <c r="B19" s="2" t="s">
        <v>17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</row>
    <row r="20" spans="2:8" s="2" customFormat="1" ht="11.25">
      <c r="B20" s="2" t="s">
        <v>18</v>
      </c>
      <c r="C20" s="7">
        <v>3297</v>
      </c>
      <c r="D20" s="7">
        <v>3363</v>
      </c>
      <c r="E20" s="7">
        <v>3522</v>
      </c>
      <c r="F20" s="7">
        <v>3868</v>
      </c>
      <c r="G20" s="7">
        <v>4637</v>
      </c>
      <c r="H20" s="7">
        <v>5758</v>
      </c>
    </row>
    <row r="21" spans="2:8" s="2" customFormat="1" ht="11.25">
      <c r="B21" s="2" t="s">
        <v>19</v>
      </c>
      <c r="C21" s="7">
        <v>127</v>
      </c>
      <c r="D21" s="7">
        <v>0</v>
      </c>
      <c r="E21" s="7">
        <v>136</v>
      </c>
      <c r="F21" s="7">
        <v>99</v>
      </c>
      <c r="G21" s="7">
        <v>142</v>
      </c>
      <c r="H21" s="7">
        <v>43</v>
      </c>
    </row>
    <row r="22" spans="2:8" s="2" customFormat="1" ht="11.25">
      <c r="B22" s="2" t="s">
        <v>14</v>
      </c>
      <c r="C22" s="7">
        <f aca="true" t="shared" si="3" ref="C22:H22">SUM(C23:C24)</f>
        <v>160783</v>
      </c>
      <c r="D22" s="7">
        <f t="shared" si="3"/>
        <v>177351</v>
      </c>
      <c r="E22" s="7">
        <f t="shared" si="3"/>
        <v>91879</v>
      </c>
      <c r="F22" s="7">
        <f t="shared" si="3"/>
        <v>101837</v>
      </c>
      <c r="G22" s="7">
        <f t="shared" si="3"/>
        <v>58521</v>
      </c>
      <c r="H22" s="7">
        <f t="shared" si="3"/>
        <v>47064</v>
      </c>
    </row>
    <row r="23" spans="2:8" s="2" customFormat="1" ht="11.25">
      <c r="B23" s="2" t="s">
        <v>18</v>
      </c>
      <c r="C23" s="7">
        <v>18606</v>
      </c>
      <c r="D23" s="7">
        <v>15264</v>
      </c>
      <c r="E23" s="7">
        <v>19269</v>
      </c>
      <c r="F23" s="7">
        <v>39630</v>
      </c>
      <c r="G23" s="7">
        <v>38431</v>
      </c>
      <c r="H23" s="7">
        <v>40014</v>
      </c>
    </row>
    <row r="24" spans="2:8" s="2" customFormat="1" ht="11.25">
      <c r="B24" s="2" t="s">
        <v>19</v>
      </c>
      <c r="C24" s="7">
        <v>142177</v>
      </c>
      <c r="D24" s="7">
        <v>162087</v>
      </c>
      <c r="E24" s="7">
        <v>72610</v>
      </c>
      <c r="F24" s="7">
        <v>62207</v>
      </c>
      <c r="G24" s="7">
        <v>20090</v>
      </c>
      <c r="H24" s="7">
        <v>7050</v>
      </c>
    </row>
    <row r="25" spans="1:8" s="2" customFormat="1" ht="11.25">
      <c r="A25" s="3" t="s">
        <v>20</v>
      </c>
      <c r="B25" s="3"/>
      <c r="C25" s="8">
        <v>16902</v>
      </c>
      <c r="D25" s="8">
        <v>17917</v>
      </c>
      <c r="E25" s="8">
        <v>17414</v>
      </c>
      <c r="F25" s="8">
        <v>16963</v>
      </c>
      <c r="G25" s="8">
        <v>16505</v>
      </c>
      <c r="H25" s="8">
        <v>30525</v>
      </c>
    </row>
    <row r="26" spans="1:8" s="2" customFormat="1" ht="11.25">
      <c r="A26" s="5" t="s">
        <v>21</v>
      </c>
      <c r="C26" s="7"/>
      <c r="D26" s="7"/>
      <c r="E26" s="7"/>
      <c r="F26" s="7"/>
      <c r="G26" s="7"/>
      <c r="H26" s="7"/>
    </row>
    <row r="27" spans="1:8" s="2" customFormat="1" ht="11.25">
      <c r="A27" s="2" t="s">
        <v>10</v>
      </c>
      <c r="C27" s="7">
        <f>(277435+253287)/2</f>
        <v>265361</v>
      </c>
      <c r="D27" s="7">
        <f>(D11+250314)/2</f>
        <v>309107</v>
      </c>
      <c r="E27" s="7">
        <f>(E11+222783)/2</f>
        <v>251907</v>
      </c>
      <c r="F27" s="7">
        <f>(F11+229819)/2</f>
        <v>261602</v>
      </c>
      <c r="G27" s="7">
        <f>(G11+H11)/2</f>
        <v>232960.5</v>
      </c>
      <c r="H27" s="7">
        <f>(H11+250193)/2</f>
        <v>231413.5</v>
      </c>
    </row>
    <row r="28" spans="1:8" s="2" customFormat="1" ht="11.25">
      <c r="A28" s="2" t="s">
        <v>22</v>
      </c>
      <c r="C28" s="7">
        <f aca="true" t="shared" si="4" ref="C28:H28">C29+C30</f>
        <v>58228.5</v>
      </c>
      <c r="D28" s="7">
        <f t="shared" si="4"/>
        <v>56075.5</v>
      </c>
      <c r="E28" s="7">
        <f t="shared" si="4"/>
        <v>62172</v>
      </c>
      <c r="F28" s="7">
        <f t="shared" si="4"/>
        <v>68234.5</v>
      </c>
      <c r="G28" s="7">
        <f t="shared" si="4"/>
        <v>71614.5</v>
      </c>
      <c r="H28" s="7">
        <f t="shared" si="4"/>
        <v>125010</v>
      </c>
    </row>
    <row r="29" spans="2:8" s="2" customFormat="1" ht="11.25">
      <c r="B29" s="2" t="s">
        <v>12</v>
      </c>
      <c r="C29" s="7">
        <f>(C13+G13)/2</f>
        <v>58001.5</v>
      </c>
      <c r="D29" s="7">
        <f>(D13+61681)/2</f>
        <v>55824.5</v>
      </c>
      <c r="E29" s="7">
        <f>(E13+63874)/2</f>
        <v>61924</v>
      </c>
      <c r="F29" s="7">
        <f>(F13+73484)/2</f>
        <v>67992.5</v>
      </c>
      <c r="G29" s="7">
        <f>(G13+H13)/2</f>
        <v>71591.5</v>
      </c>
      <c r="H29" s="7">
        <f>(H13+164231)/2</f>
        <v>124982.5</v>
      </c>
    </row>
    <row r="30" spans="2:8" s="2" customFormat="1" ht="11.25">
      <c r="B30" s="2" t="s">
        <v>15</v>
      </c>
      <c r="C30" s="7">
        <f>(C16+G16)/2</f>
        <v>227</v>
      </c>
      <c r="D30" s="7">
        <f>(D16+28)/2</f>
        <v>251</v>
      </c>
      <c r="E30" s="7">
        <f>(E16+26)/2</f>
        <v>248</v>
      </c>
      <c r="F30" s="7">
        <f>(F16+33)/2</f>
        <v>242</v>
      </c>
      <c r="G30" s="7">
        <f>(G16+H16)/2</f>
        <v>23</v>
      </c>
      <c r="H30" s="7">
        <f>(H16+23)/2</f>
        <v>27.5</v>
      </c>
    </row>
    <row r="31" spans="1:8" s="2" customFormat="1" ht="11.25">
      <c r="A31" s="3" t="s">
        <v>20</v>
      </c>
      <c r="B31" s="3"/>
      <c r="C31" s="8">
        <f>(C25+G25)/2</f>
        <v>16703.5</v>
      </c>
      <c r="D31" s="8">
        <f>(D25+21955)/2</f>
        <v>19936</v>
      </c>
      <c r="E31" s="8">
        <f>(E25+26547)/2</f>
        <v>21980.5</v>
      </c>
      <c r="F31" s="8">
        <f>(F25+31238)/2</f>
        <v>24100.5</v>
      </c>
      <c r="G31" s="8">
        <f>(G25+H25)/2</f>
        <v>23515</v>
      </c>
      <c r="H31" s="8">
        <f>(H25+54665)/2</f>
        <v>42595</v>
      </c>
    </row>
    <row r="32" s="2" customFormat="1" ht="11.25">
      <c r="A32" s="5" t="s">
        <v>23</v>
      </c>
    </row>
    <row r="33" spans="1:8" s="2" customFormat="1" ht="11.25">
      <c r="A33" s="2" t="s">
        <v>24</v>
      </c>
      <c r="C33" s="7">
        <f>6386+D33</f>
        <v>24866</v>
      </c>
      <c r="D33" s="7">
        <f>7594+E33</f>
        <v>18480</v>
      </c>
      <c r="E33" s="7">
        <f>5664+F33</f>
        <v>10886</v>
      </c>
      <c r="F33" s="7">
        <v>5222</v>
      </c>
      <c r="G33" s="7">
        <v>17491</v>
      </c>
      <c r="H33" s="7">
        <v>14900</v>
      </c>
    </row>
    <row r="34" spans="1:8" s="2" customFormat="1" ht="11.25">
      <c r="A34" s="2" t="s">
        <v>25</v>
      </c>
      <c r="C34" s="7">
        <f>6258+D34</f>
        <v>22497</v>
      </c>
      <c r="D34" s="7">
        <f>6889+E34</f>
        <v>16239</v>
      </c>
      <c r="E34" s="7">
        <f>4944+F34</f>
        <v>9350</v>
      </c>
      <c r="F34" s="7">
        <v>4406</v>
      </c>
      <c r="G34" s="7">
        <v>13894</v>
      </c>
      <c r="H34" s="7">
        <v>9597</v>
      </c>
    </row>
    <row r="35" spans="1:8" s="2" customFormat="1" ht="11.25">
      <c r="A35" s="2" t="s">
        <v>26</v>
      </c>
      <c r="C35" s="7">
        <f aca="true" t="shared" si="5" ref="C35:H35">C33-C34</f>
        <v>2369</v>
      </c>
      <c r="D35" s="7">
        <f t="shared" si="5"/>
        <v>2241</v>
      </c>
      <c r="E35" s="7">
        <f t="shared" si="5"/>
        <v>1536</v>
      </c>
      <c r="F35" s="7">
        <f t="shared" si="5"/>
        <v>816</v>
      </c>
      <c r="G35" s="7">
        <f t="shared" si="5"/>
        <v>3597</v>
      </c>
      <c r="H35" s="7">
        <f t="shared" si="5"/>
        <v>5303</v>
      </c>
    </row>
    <row r="36" spans="1:8" s="2" customFormat="1" ht="11.25">
      <c r="A36" s="2" t="s">
        <v>27</v>
      </c>
      <c r="C36" s="7">
        <f>218+D36</f>
        <v>686</v>
      </c>
      <c r="D36" s="7">
        <f>182+E36</f>
        <v>468</v>
      </c>
      <c r="E36" s="7">
        <f>159+F36</f>
        <v>286</v>
      </c>
      <c r="F36" s="7">
        <v>127</v>
      </c>
      <c r="G36" s="7">
        <v>553</v>
      </c>
      <c r="H36" s="7">
        <v>458</v>
      </c>
    </row>
    <row r="37" spans="1:8" s="2" customFormat="1" ht="11.25">
      <c r="A37" s="2" t="s">
        <v>28</v>
      </c>
      <c r="C37" s="7">
        <f aca="true" t="shared" si="6" ref="C37:H37">C35+C36</f>
        <v>3055</v>
      </c>
      <c r="D37" s="7">
        <f t="shared" si="6"/>
        <v>2709</v>
      </c>
      <c r="E37" s="7">
        <f t="shared" si="6"/>
        <v>1822</v>
      </c>
      <c r="F37" s="7">
        <f t="shared" si="6"/>
        <v>943</v>
      </c>
      <c r="G37" s="7">
        <f t="shared" si="6"/>
        <v>4150</v>
      </c>
      <c r="H37" s="7">
        <f t="shared" si="6"/>
        <v>5761</v>
      </c>
    </row>
    <row r="38" spans="1:8" s="2" customFormat="1" ht="11.25">
      <c r="A38" s="2" t="s">
        <v>29</v>
      </c>
      <c r="C38" s="7">
        <f>408+D38</f>
        <v>1621</v>
      </c>
      <c r="D38" s="7">
        <f>377+E38</f>
        <v>1213</v>
      </c>
      <c r="E38" s="7">
        <f>420+F38</f>
        <v>836</v>
      </c>
      <c r="F38" s="7">
        <v>416</v>
      </c>
      <c r="G38" s="7">
        <v>2262</v>
      </c>
      <c r="H38" s="7">
        <v>4256</v>
      </c>
    </row>
    <row r="39" spans="1:8" s="2" customFormat="1" ht="11.25">
      <c r="A39" s="2" t="s">
        <v>30</v>
      </c>
      <c r="C39" s="7">
        <f aca="true" t="shared" si="7" ref="C39:H39">C37-C38</f>
        <v>1434</v>
      </c>
      <c r="D39" s="7">
        <f t="shared" si="7"/>
        <v>1496</v>
      </c>
      <c r="E39" s="7">
        <f t="shared" si="7"/>
        <v>986</v>
      </c>
      <c r="F39" s="7">
        <f t="shared" si="7"/>
        <v>527</v>
      </c>
      <c r="G39" s="7">
        <f t="shared" si="7"/>
        <v>1888</v>
      </c>
      <c r="H39" s="7">
        <f t="shared" si="7"/>
        <v>1505</v>
      </c>
    </row>
    <row r="40" spans="1:8" s="2" customFormat="1" ht="11.25">
      <c r="A40" s="3" t="s">
        <v>31</v>
      </c>
      <c r="B40" s="3"/>
      <c r="C40" s="8">
        <f>-1017+D40</f>
        <v>301</v>
      </c>
      <c r="D40" s="8">
        <f>505+E40</f>
        <v>1318</v>
      </c>
      <c r="E40" s="8">
        <f>453+F40</f>
        <v>813</v>
      </c>
      <c r="F40" s="8">
        <v>360</v>
      </c>
      <c r="G40" s="8">
        <v>1828</v>
      </c>
      <c r="H40" s="8">
        <v>861</v>
      </c>
    </row>
    <row r="41" spans="1:8" s="2" customFormat="1" ht="11.25">
      <c r="A41" s="5" t="s">
        <v>32</v>
      </c>
      <c r="C41" s="7"/>
      <c r="D41" s="7"/>
      <c r="E41" s="7"/>
      <c r="F41" s="7"/>
      <c r="G41" s="7"/>
      <c r="H41" s="7"/>
    </row>
    <row r="42" spans="1:8" s="2" customFormat="1" ht="11.25">
      <c r="A42" s="2" t="s">
        <v>33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</row>
    <row r="43" spans="1:8" s="2" customFormat="1" ht="11.25">
      <c r="A43" s="2" t="s">
        <v>34</v>
      </c>
      <c r="C43" s="7">
        <v>2103</v>
      </c>
      <c r="D43" s="7">
        <v>1024</v>
      </c>
      <c r="E43" s="7">
        <v>2669</v>
      </c>
      <c r="F43" s="7">
        <v>2519</v>
      </c>
      <c r="G43" s="7">
        <v>2523</v>
      </c>
      <c r="H43" s="7">
        <v>3189</v>
      </c>
    </row>
    <row r="44" spans="1:8" s="2" customFormat="1" ht="11.25">
      <c r="A44" s="2" t="s">
        <v>35</v>
      </c>
      <c r="C44" s="9">
        <f aca="true" t="shared" si="8" ref="C44:H44">C42/C13</f>
        <v>0</v>
      </c>
      <c r="D44" s="9">
        <f t="shared" si="8"/>
        <v>0</v>
      </c>
      <c r="E44" s="9">
        <f t="shared" si="8"/>
        <v>0</v>
      </c>
      <c r="F44" s="9">
        <f t="shared" si="8"/>
        <v>0</v>
      </c>
      <c r="G44" s="9">
        <f t="shared" si="8"/>
        <v>0</v>
      </c>
      <c r="H44" s="9">
        <f t="shared" si="8"/>
        <v>0</v>
      </c>
    </row>
    <row r="45" spans="1:8" s="2" customFormat="1" ht="11.25">
      <c r="A45" s="2" t="s">
        <v>36</v>
      </c>
      <c r="C45" s="9">
        <f aca="true" t="shared" si="9" ref="C45:H45">(C43)/C13</f>
        <v>0.035915565119376984</v>
      </c>
      <c r="D45" s="9">
        <f t="shared" si="9"/>
        <v>0.020493115593980146</v>
      </c>
      <c r="E45" s="9">
        <f t="shared" si="9"/>
        <v>0.04450261780104712</v>
      </c>
      <c r="F45" s="9">
        <f t="shared" si="9"/>
        <v>0.04030335514631766</v>
      </c>
      <c r="G45" s="9">
        <f t="shared" si="9"/>
        <v>0.043917213528520946</v>
      </c>
      <c r="H45" s="9">
        <f t="shared" si="9"/>
        <v>0.03719644481769193</v>
      </c>
    </row>
    <row r="46" spans="1:8" s="2" customFormat="1" ht="11.25">
      <c r="A46" s="10" t="s">
        <v>37</v>
      </c>
      <c r="C46" s="9">
        <f aca="true" t="shared" si="10" ref="C46:H46">(C42+C43)/C13</f>
        <v>0.035915565119376984</v>
      </c>
      <c r="D46" s="9">
        <f t="shared" si="10"/>
        <v>0.020493115593980146</v>
      </c>
      <c r="E46" s="9">
        <f t="shared" si="10"/>
        <v>0.04450261780104712</v>
      </c>
      <c r="F46" s="9">
        <f t="shared" si="10"/>
        <v>0.04030335514631766</v>
      </c>
      <c r="G46" s="9">
        <f t="shared" si="10"/>
        <v>0.043917213528520946</v>
      </c>
      <c r="H46" s="9">
        <f t="shared" si="10"/>
        <v>0.03719644481769193</v>
      </c>
    </row>
    <row r="47" spans="1:8" s="2" customFormat="1" ht="11.25">
      <c r="A47" s="2" t="s">
        <v>38</v>
      </c>
      <c r="C47" s="9">
        <v>0.0401</v>
      </c>
      <c r="D47" s="9">
        <v>0.0189</v>
      </c>
      <c r="E47" s="9">
        <v>0.0621</v>
      </c>
      <c r="F47" s="9">
        <v>0.0596</v>
      </c>
      <c r="G47" s="9">
        <v>0.0642</v>
      </c>
      <c r="H47" s="9">
        <f>(3877/H13)</f>
        <v>0.04522126577553829</v>
      </c>
    </row>
    <row r="48" spans="1:8" s="2" customFormat="1" ht="11.25">
      <c r="A48" s="3" t="s">
        <v>39</v>
      </c>
      <c r="B48" s="3"/>
      <c r="C48" s="11">
        <v>1.1181</v>
      </c>
      <c r="D48" s="11">
        <v>0.9209</v>
      </c>
      <c r="E48" s="11">
        <v>1.3964</v>
      </c>
      <c r="F48" s="11">
        <v>1.4796</v>
      </c>
      <c r="G48" s="11">
        <v>1.4609</v>
      </c>
      <c r="H48" s="11">
        <f>3877/(H42+H43)</f>
        <v>1.21574161179053</v>
      </c>
    </row>
    <row r="49" s="2" customFormat="1" ht="11.25">
      <c r="A49" s="5" t="s">
        <v>40</v>
      </c>
    </row>
    <row r="50" spans="1:8" s="2" customFormat="1" ht="11.25">
      <c r="A50" s="2" t="s">
        <v>41</v>
      </c>
      <c r="C50" s="9">
        <f aca="true" t="shared" si="11" ref="C50:H50">C25/(C13+C16)</f>
        <v>0.2865037122419229</v>
      </c>
      <c r="D50" s="9">
        <f t="shared" si="11"/>
        <v>0.35520003171959874</v>
      </c>
      <c r="E50" s="9">
        <f t="shared" si="11"/>
        <v>0.28810138309840516</v>
      </c>
      <c r="F50" s="9">
        <f t="shared" si="11"/>
        <v>0.26945927055534374</v>
      </c>
      <c r="G50" s="9">
        <f t="shared" si="11"/>
        <v>0.28722830343003325</v>
      </c>
      <c r="H50" s="9">
        <f t="shared" si="11"/>
        <v>0.3559102674719586</v>
      </c>
    </row>
    <row r="51" spans="1:8" s="2" customFormat="1" ht="11.25">
      <c r="A51" s="3" t="s">
        <v>42</v>
      </c>
      <c r="B51" s="3"/>
      <c r="C51" s="11">
        <f aca="true" t="shared" si="12" ref="C51:H51">C25/C11</f>
        <v>0.06092237821471696</v>
      </c>
      <c r="D51" s="11">
        <f t="shared" si="12"/>
        <v>0.04870073389508019</v>
      </c>
      <c r="E51" s="11">
        <f t="shared" si="12"/>
        <v>0.06196469428639545</v>
      </c>
      <c r="F51" s="11">
        <f t="shared" si="12"/>
        <v>0.05781822519897063</v>
      </c>
      <c r="G51" s="11">
        <f t="shared" si="12"/>
        <v>0.06516323380197167</v>
      </c>
      <c r="H51" s="11">
        <f t="shared" si="12"/>
        <v>0.14355653376223934</v>
      </c>
    </row>
    <row r="52" spans="1:8" s="2" customFormat="1" ht="11.25">
      <c r="A52" s="5" t="s">
        <v>43</v>
      </c>
      <c r="C52" s="12"/>
      <c r="D52" s="12"/>
      <c r="E52" s="12"/>
      <c r="F52" s="12"/>
      <c r="G52" s="12"/>
      <c r="H52" s="12"/>
    </row>
    <row r="53" spans="1:8" s="2" customFormat="1" ht="11.25">
      <c r="A53" s="2" t="s">
        <v>44</v>
      </c>
      <c r="C53" s="12">
        <f aca="true" t="shared" si="13" ref="C53:H53">C12/C17</f>
        <v>1.2972954867941073</v>
      </c>
      <c r="D53" s="12">
        <f t="shared" si="13"/>
        <v>1.7065086268911096</v>
      </c>
      <c r="E53" s="12">
        <f t="shared" si="13"/>
        <v>2.260579670703497</v>
      </c>
      <c r="F53" s="12">
        <f t="shared" si="13"/>
        <v>2.0956958149030283</v>
      </c>
      <c r="G53" s="12">
        <f t="shared" si="13"/>
        <v>3.0057187993680885</v>
      </c>
      <c r="H53" s="12">
        <f t="shared" si="13"/>
        <v>2.3040953371796085</v>
      </c>
    </row>
    <row r="54" spans="1:8" s="2" customFormat="1" ht="11.25">
      <c r="A54" s="2" t="s">
        <v>45</v>
      </c>
      <c r="C54" s="12">
        <f aca="true" t="shared" si="14" ref="C54:H54">C12/C11</f>
        <v>0.7678375114891777</v>
      </c>
      <c r="D54" s="12">
        <f t="shared" si="14"/>
        <v>0.8382440880674096</v>
      </c>
      <c r="E54" s="12">
        <f t="shared" si="14"/>
        <v>0.7684881739025232</v>
      </c>
      <c r="F54" s="12">
        <f t="shared" si="14"/>
        <v>0.7557748351142697</v>
      </c>
      <c r="G54" s="12">
        <f t="shared" si="14"/>
        <v>0.7511715958576635</v>
      </c>
      <c r="H54" s="12">
        <f t="shared" si="14"/>
        <v>0.5728434775247608</v>
      </c>
    </row>
    <row r="55" spans="1:8" s="2" customFormat="1" ht="11.25">
      <c r="A55" s="3" t="s">
        <v>46</v>
      </c>
      <c r="B55" s="3"/>
      <c r="C55" s="13">
        <f aca="true" t="shared" si="15" ref="C55:H55">(C12+C16)/C17</f>
        <v>1.2999750315150997</v>
      </c>
      <c r="D55" s="13">
        <f t="shared" si="15"/>
        <v>1.7091315559392188</v>
      </c>
      <c r="E55" s="13">
        <f t="shared" si="15"/>
        <v>2.265499230664559</v>
      </c>
      <c r="F55" s="13">
        <f t="shared" si="15"/>
        <v>2.0999584136705605</v>
      </c>
      <c r="G55" s="13">
        <f t="shared" si="15"/>
        <v>3.0059399684044235</v>
      </c>
      <c r="H55" s="13">
        <f t="shared" si="15"/>
        <v>2.304700652605694</v>
      </c>
    </row>
    <row r="56" s="2" customFormat="1" ht="11.25">
      <c r="A56" s="5" t="s">
        <v>47</v>
      </c>
    </row>
    <row r="57" spans="1:8" s="2" customFormat="1" ht="11.25">
      <c r="A57" s="2" t="s">
        <v>48</v>
      </c>
      <c r="C57" s="9">
        <f>C40/C28</f>
        <v>0.005169289952514662</v>
      </c>
      <c r="D57" s="9">
        <f>(D40/0.75)/D28</f>
        <v>0.03133870109643843</v>
      </c>
      <c r="E57" s="9">
        <f>(E40/0.5)/E28</f>
        <v>0.02615325226790195</v>
      </c>
      <c r="F57" s="9">
        <f>((F40)/0.25)/F28</f>
        <v>0.021103693879196007</v>
      </c>
      <c r="G57" s="9">
        <f>G40/G28</f>
        <v>0.02552555697519357</v>
      </c>
      <c r="H57" s="9">
        <f>H40/H28</f>
        <v>0.006887449004079674</v>
      </c>
    </row>
    <row r="58" spans="1:8" s="2" customFormat="1" ht="11.25">
      <c r="A58" s="2" t="s">
        <v>49</v>
      </c>
      <c r="C58" s="9">
        <f>C40/C27</f>
        <v>0.0011343038351528671</v>
      </c>
      <c r="D58" s="9">
        <f>(D40/0.75)/D27</f>
        <v>0.0056851942315552005</v>
      </c>
      <c r="E58" s="9">
        <f>(E40/0.5)/E27</f>
        <v>0.006454763067322464</v>
      </c>
      <c r="F58" s="9">
        <f>((F40)/0.25)/F27</f>
        <v>0.00550454507228538</v>
      </c>
      <c r="G58" s="9">
        <f>G40/G27</f>
        <v>0.007846823817771683</v>
      </c>
      <c r="H58" s="9">
        <f>H40/H27</f>
        <v>0.0037206126695287873</v>
      </c>
    </row>
    <row r="59" spans="1:8" s="2" customFormat="1" ht="11.25">
      <c r="A59" s="2" t="s">
        <v>50</v>
      </c>
      <c r="C59" s="9">
        <f>C40/C31</f>
        <v>0.018020175412338732</v>
      </c>
      <c r="D59" s="9">
        <f>(D40/0.75)/D31</f>
        <v>0.08814874264312467</v>
      </c>
      <c r="E59" s="9">
        <f>(E40/0.5)/E31</f>
        <v>0.07397465935715748</v>
      </c>
      <c r="F59" s="9">
        <f>((F40)/0.25)/F31</f>
        <v>0.059749797722038964</v>
      </c>
      <c r="G59" s="9">
        <f>G40/G31</f>
        <v>0.07773761428875187</v>
      </c>
      <c r="H59" s="9">
        <f>H40/H31</f>
        <v>0.020213640098603124</v>
      </c>
    </row>
    <row r="60" spans="1:8" s="2" customFormat="1" ht="11.25">
      <c r="A60" s="2" t="s">
        <v>51</v>
      </c>
      <c r="C60" s="9">
        <f>C33/C27</f>
        <v>0.0937063095179774</v>
      </c>
      <c r="D60" s="9">
        <f>(D33/0.75)/D27</f>
        <v>0.07971349726793635</v>
      </c>
      <c r="E60" s="9">
        <f>(E33/0.5)/E27</f>
        <v>0.0864287217107901</v>
      </c>
      <c r="F60" s="9">
        <f>((F33)/0.25)/F27</f>
        <v>0.07984648435409515</v>
      </c>
      <c r="G60" s="9">
        <f>G33/G27</f>
        <v>0.07508139791938977</v>
      </c>
      <c r="H60" s="9">
        <f>H33/H27</f>
        <v>0.06438690914747844</v>
      </c>
    </row>
    <row r="61" spans="1:8" s="2" customFormat="1" ht="11.25">
      <c r="A61" s="2" t="s">
        <v>52</v>
      </c>
      <c r="C61" s="9">
        <f>C34/C27</f>
        <v>0.08477884843665799</v>
      </c>
      <c r="D61" s="9">
        <f>(D34/0.75)/D27</f>
        <v>0.07004694167391874</v>
      </c>
      <c r="E61" s="9">
        <f>(E34/0.5)/E27</f>
        <v>0.07423374499319194</v>
      </c>
      <c r="F61" s="9">
        <f>((F34)/0.25)/F27</f>
        <v>0.06736951552358163</v>
      </c>
      <c r="G61" s="9">
        <f>G34/G27</f>
        <v>0.05964101210291015</v>
      </c>
      <c r="H61" s="9">
        <f>H34/H27</f>
        <v>0.04147121926767453</v>
      </c>
    </row>
    <row r="62" spans="1:8" s="2" customFormat="1" ht="11.25">
      <c r="A62" s="2" t="s">
        <v>53</v>
      </c>
      <c r="C62" s="9">
        <f>C35/C27</f>
        <v>0.00892746108131941</v>
      </c>
      <c r="D62" s="9">
        <f>(D35)/0.75/D27</f>
        <v>0.009666555594017606</v>
      </c>
      <c r="E62" s="9">
        <f>(E35/0.5)/E27</f>
        <v>0.012194976717598161</v>
      </c>
      <c r="F62" s="9">
        <f>((F35)/0.25)/F27</f>
        <v>0.012476968830513527</v>
      </c>
      <c r="G62" s="9">
        <f>G35/G27</f>
        <v>0.015440385816479617</v>
      </c>
      <c r="H62" s="9">
        <f>H35/H27</f>
        <v>0.0229156898798039</v>
      </c>
    </row>
    <row r="63" spans="1:8" s="2" customFormat="1" ht="11.25">
      <c r="A63" s="2" t="s">
        <v>54</v>
      </c>
      <c r="C63" s="9">
        <f>C38/C37</f>
        <v>0.5306055646481178</v>
      </c>
      <c r="D63" s="9">
        <f>(D38/0.75)/(D37/0.75)</f>
        <v>0.44776670358065707</v>
      </c>
      <c r="E63" s="9">
        <f>(E38/0.5)/(E37/0.5)</f>
        <v>0.4588364434687157</v>
      </c>
      <c r="F63" s="9">
        <f>(F38/0.25)/(F37/0.25)</f>
        <v>0.4411452810180276</v>
      </c>
      <c r="G63" s="9">
        <f>G38/G37</f>
        <v>0.5450602409638554</v>
      </c>
      <c r="H63" s="9">
        <f>H38/H37</f>
        <v>0.7387606318347509</v>
      </c>
    </row>
    <row r="64" spans="1:8" s="2" customFormat="1" ht="11.25">
      <c r="A64" s="3" t="s">
        <v>55</v>
      </c>
      <c r="B64" s="3"/>
      <c r="C64" s="11">
        <f>C36/C27</f>
        <v>0.0025851575777902556</v>
      </c>
      <c r="D64" s="11">
        <f>(D36/0.75)/D27</f>
        <v>0.0020187184373048816</v>
      </c>
      <c r="E64" s="11">
        <f>(E36/0.5)/E27</f>
        <v>0.0022706792586152827</v>
      </c>
      <c r="F64" s="11">
        <f>(F36/0.25)/F27</f>
        <v>0.0019418811782784535</v>
      </c>
      <c r="G64" s="11">
        <f>G36/G27</f>
        <v>0.002373792982072068</v>
      </c>
      <c r="H64" s="11">
        <f>H36/H27</f>
        <v>0.0019791412341976593</v>
      </c>
    </row>
    <row r="65" s="2" customFormat="1" ht="11.25">
      <c r="A65" s="5" t="s">
        <v>56</v>
      </c>
    </row>
    <row r="66" spans="1:8" s="2" customFormat="1" ht="11.25">
      <c r="A66" s="2" t="s">
        <v>57</v>
      </c>
      <c r="C66" s="7">
        <v>24</v>
      </c>
      <c r="D66" s="7">
        <v>25</v>
      </c>
      <c r="E66" s="7">
        <v>23</v>
      </c>
      <c r="F66" s="7">
        <v>27</v>
      </c>
      <c r="G66" s="7">
        <v>26</v>
      </c>
      <c r="H66" s="7">
        <v>38</v>
      </c>
    </row>
    <row r="67" spans="1:8" s="2" customFormat="1" ht="11.25">
      <c r="A67" s="2" t="s">
        <v>58</v>
      </c>
      <c r="C67" s="7">
        <v>1</v>
      </c>
      <c r="D67" s="7">
        <v>1</v>
      </c>
      <c r="E67" s="7">
        <v>1</v>
      </c>
      <c r="F67" s="7">
        <v>1</v>
      </c>
      <c r="G67" s="7">
        <v>1</v>
      </c>
      <c r="H67" s="7">
        <v>1</v>
      </c>
    </row>
    <row r="68" spans="1:8" s="2" customFormat="1" ht="11.25">
      <c r="A68" s="2" t="s">
        <v>59</v>
      </c>
      <c r="C68" s="7">
        <f aca="true" t="shared" si="16" ref="C68:H68">C13/C66</f>
        <v>2439.75</v>
      </c>
      <c r="D68" s="7">
        <f t="shared" si="16"/>
        <v>1998.72</v>
      </c>
      <c r="E68" s="7">
        <f t="shared" si="16"/>
        <v>2607.5652173913045</v>
      </c>
      <c r="F68" s="7">
        <f t="shared" si="16"/>
        <v>2314.8518518518517</v>
      </c>
      <c r="G68" s="7">
        <f t="shared" si="16"/>
        <v>2209.576923076923</v>
      </c>
      <c r="H68" s="7">
        <f t="shared" si="16"/>
        <v>2256.157894736842</v>
      </c>
    </row>
    <row r="69" spans="1:8" s="2" customFormat="1" ht="11.25">
      <c r="A69" s="2" t="s">
        <v>60</v>
      </c>
      <c r="C69" s="7">
        <f aca="true" t="shared" si="17" ref="C69:H69">C17/C66</f>
        <v>6841.958333333333</v>
      </c>
      <c r="D69" s="7">
        <f t="shared" si="17"/>
        <v>7228.56</v>
      </c>
      <c r="E69" s="7">
        <f t="shared" si="17"/>
        <v>4153.782608695652</v>
      </c>
      <c r="F69" s="7">
        <f t="shared" si="17"/>
        <v>3918.6666666666665</v>
      </c>
      <c r="G69" s="7">
        <f t="shared" si="17"/>
        <v>2434.6153846153848</v>
      </c>
      <c r="H69" s="7">
        <f t="shared" si="17"/>
        <v>1391.1842105263158</v>
      </c>
    </row>
    <row r="70" spans="1:8" s="2" customFormat="1" ht="11.25">
      <c r="A70" s="3" t="s">
        <v>61</v>
      </c>
      <c r="B70" s="3"/>
      <c r="C70" s="8">
        <f aca="true" t="shared" si="18" ref="C70:H70">(C40/C66)</f>
        <v>12.541666666666666</v>
      </c>
      <c r="D70" s="8">
        <f t="shared" si="18"/>
        <v>52.72</v>
      </c>
      <c r="E70" s="8">
        <f t="shared" si="18"/>
        <v>35.34782608695652</v>
      </c>
      <c r="F70" s="8">
        <f t="shared" si="18"/>
        <v>13.333333333333334</v>
      </c>
      <c r="G70" s="8">
        <f t="shared" si="18"/>
        <v>70.3076923076923</v>
      </c>
      <c r="H70" s="8">
        <f t="shared" si="18"/>
        <v>22.657894736842106</v>
      </c>
    </row>
    <row r="71" s="2" customFormat="1" ht="11.25">
      <c r="A71" s="5" t="s">
        <v>62</v>
      </c>
    </row>
    <row r="72" spans="1:8" s="2" customFormat="1" ht="11.25">
      <c r="A72" s="2" t="s">
        <v>63</v>
      </c>
      <c r="C72" s="9">
        <f>(C11/G11)-1</f>
        <v>0.09533848953953417</v>
      </c>
      <c r="D72" s="9">
        <f>(D11/250314)-1</f>
        <v>0.4697539889898288</v>
      </c>
      <c r="E72" s="9">
        <f>(E11/222783)-1</f>
        <v>0.26145621524083973</v>
      </c>
      <c r="F72" s="9">
        <f>(F11/229816)-1</f>
        <v>0.2766082431162322</v>
      </c>
      <c r="G72" s="9">
        <f>(G11/H11)-1</f>
        <v>0.19118767459578434</v>
      </c>
      <c r="H72" s="9">
        <f>(H11/250192)-1</f>
        <v>-0.1501167103664386</v>
      </c>
    </row>
    <row r="73" spans="1:8" s="2" customFormat="1" ht="11.25">
      <c r="A73" s="2" t="s">
        <v>64</v>
      </c>
      <c r="C73" s="9">
        <f>(C13/G13)-1</f>
        <v>0.019234451426482613</v>
      </c>
      <c r="D73" s="9">
        <f>D13/61681-1</f>
        <v>-0.18989640245780715</v>
      </c>
      <c r="E73" s="9">
        <f>E13/63874-1</f>
        <v>-0.06105770736136773</v>
      </c>
      <c r="F73" s="9">
        <f>F13/73484-1</f>
        <v>-0.14946110717979422</v>
      </c>
      <c r="G73" s="9">
        <f>(G13/H13)-1</f>
        <v>-0.32991578603587846</v>
      </c>
      <c r="H73" s="9">
        <f>H13/164232-1</f>
        <v>-0.4779701885138097</v>
      </c>
    </row>
    <row r="74" spans="2:8" s="2" customFormat="1" ht="11.25">
      <c r="B74" s="2" t="s">
        <v>13</v>
      </c>
      <c r="C74" s="9">
        <f>(C14/G14)-1</f>
        <v>-0.19997596442735244</v>
      </c>
      <c r="D74" s="9">
        <f>(D14/10971)-1</f>
        <v>-0.07893537507975568</v>
      </c>
      <c r="E74" s="9">
        <f>(E14/10243)-1</f>
        <v>-0.1805135214292688</v>
      </c>
      <c r="F74" s="9">
        <f>(F14/7987)-1</f>
        <v>0.27770126455490174</v>
      </c>
      <c r="G74" s="9">
        <f>(G14/H14)-1</f>
        <v>-0.35849202066147556</v>
      </c>
      <c r="H74" s="9">
        <f>(H14/23622)-1</f>
        <v>-0.4508932351198036</v>
      </c>
    </row>
    <row r="75" spans="2:8" s="2" customFormat="1" ht="11.25">
      <c r="B75" s="2" t="s">
        <v>14</v>
      </c>
      <c r="C75" s="9">
        <f>(C15/G15)-1</f>
        <v>0.05636297020029302</v>
      </c>
      <c r="D75" s="9">
        <f>(D15/50710)-1</f>
        <v>-0.21390258331690004</v>
      </c>
      <c r="E75" s="9">
        <f>(E15/53631)-1</f>
        <v>-0.038242807331580586</v>
      </c>
      <c r="F75" s="9">
        <f>(F15/65496)-1</f>
        <v>-0.20153902528398682</v>
      </c>
      <c r="G75" s="9">
        <f>(G15/H15)-1</f>
        <v>-0.32482168134903733</v>
      </c>
      <c r="H75" s="9">
        <f>(H15/140609)-1</f>
        <v>-0.48251534396802476</v>
      </c>
    </row>
    <row r="76" spans="1:8" s="2" customFormat="1" ht="11.25">
      <c r="A76" s="2" t="s">
        <v>65</v>
      </c>
      <c r="C76" s="9">
        <f>(C17/G17)-1</f>
        <v>1.5941074249605056</v>
      </c>
      <c r="D76" s="9">
        <f>D17/64489-1</f>
        <v>1.8022453441672224</v>
      </c>
      <c r="E76" s="9">
        <f>E17/42581-1</f>
        <v>1.2436532725863647</v>
      </c>
      <c r="F76" s="9">
        <f>F17/47316-1</f>
        <v>1.2361146335277708</v>
      </c>
      <c r="G76" s="9">
        <f>(G17/H17)-1</f>
        <v>0.19738957722500716</v>
      </c>
      <c r="H76" s="9">
        <f>H17/186363-1</f>
        <v>-0.7163331777230459</v>
      </c>
    </row>
    <row r="77" spans="2:8" s="2" customFormat="1" ht="11.25">
      <c r="B77" s="2" t="s">
        <v>13</v>
      </c>
      <c r="C77" s="9">
        <f>(C18/G18)-1</f>
        <v>-0.2835321196903118</v>
      </c>
      <c r="D77" s="9">
        <f>(D18/4825)-1</f>
        <v>-0.30300518134715027</v>
      </c>
      <c r="E77" s="9">
        <f>(E18/4174)-1</f>
        <v>-0.12362242453282224</v>
      </c>
      <c r="F77" s="9">
        <f>(F18/4764)-1</f>
        <v>-0.16729638958858106</v>
      </c>
      <c r="G77" s="9">
        <f>(G18/H18)-1</f>
        <v>-0.17617652128943284</v>
      </c>
      <c r="H77" s="9">
        <f>(H18/136412)-1</f>
        <v>-0.9574744157405507</v>
      </c>
    </row>
    <row r="78" spans="2:8" s="2" customFormat="1" ht="11.25">
      <c r="B78" s="2" t="s">
        <v>14</v>
      </c>
      <c r="C78" s="9">
        <f>(C22/G22)-1</f>
        <v>1.7474410895234191</v>
      </c>
      <c r="D78" s="9">
        <f>(D22/59663)-1</f>
        <v>1.9725457989038433</v>
      </c>
      <c r="E78" s="9">
        <f>(E22/38407)-1</f>
        <v>1.3922462051188584</v>
      </c>
      <c r="F78" s="9">
        <f>(F22/42553)-1</f>
        <v>1.393180269311212</v>
      </c>
      <c r="G78" s="9">
        <f>(G22/H22)-1</f>
        <v>0.24343447220805703</v>
      </c>
      <c r="H78" s="9">
        <f>(H22/49951)-1</f>
        <v>-0.0577966407078937</v>
      </c>
    </row>
    <row r="79" spans="1:8" s="2" customFormat="1" ht="11.25">
      <c r="A79" s="2" t="s">
        <v>66</v>
      </c>
      <c r="C79" s="9">
        <f>(C25/G25)-1</f>
        <v>0.024053317176613076</v>
      </c>
      <c r="D79" s="9">
        <f>(D25/21955)-1</f>
        <v>-0.1839216579366887</v>
      </c>
      <c r="E79" s="9">
        <f>(E25/26547)-1</f>
        <v>-0.34403134064112706</v>
      </c>
      <c r="F79" s="9">
        <f>(F25/31238)-1</f>
        <v>-0.4569754785837762</v>
      </c>
      <c r="G79" s="9">
        <f>(G25/H25)-1</f>
        <v>-0.4592956592956593</v>
      </c>
      <c r="H79" s="9">
        <f>(H25/54665)-1</f>
        <v>-0.4415988292325985</v>
      </c>
    </row>
    <row r="80" spans="1:8" s="2" customFormat="1" ht="11.25">
      <c r="A80" s="3" t="s">
        <v>67</v>
      </c>
      <c r="B80" s="3"/>
      <c r="C80" s="11">
        <f>(C40/G40)-1</f>
        <v>-0.8353391684901532</v>
      </c>
      <c r="D80" s="11">
        <f>(D40/1423)-1</f>
        <v>-0.07378777231201683</v>
      </c>
      <c r="E80" s="11">
        <f>(E40/1051)-1</f>
        <v>-0.22645099904852517</v>
      </c>
      <c r="F80" s="11">
        <f>(F40/715)-1</f>
        <v>-0.49650349650349646</v>
      </c>
      <c r="G80" s="11">
        <f>(G40/H40)-1</f>
        <v>1.1231126596980254</v>
      </c>
      <c r="H80" s="11">
        <f>(H40/5065)-1</f>
        <v>-0.830009871668312</v>
      </c>
    </row>
    <row r="81" s="2" customFormat="1" ht="11.25"/>
    <row r="82" s="2" customFormat="1" ht="11.25"/>
    <row r="83" s="2" customFormat="1" ht="11.25"/>
    <row r="84" s="2" customFormat="1" ht="11.25"/>
    <row r="85" s="2" customFormat="1" ht="11.25"/>
    <row r="86" s="2" customFormat="1" ht="11.25"/>
    <row r="87" s="2" customFormat="1" ht="11.25"/>
    <row r="88" s="2" customFormat="1" ht="11.25"/>
    <row r="89" s="2" customFormat="1" ht="11.25"/>
    <row r="90" s="2" customFormat="1" ht="11.25"/>
    <row r="91" s="2" customFormat="1" ht="11.25"/>
    <row r="92" s="2" customFormat="1" ht="11.25"/>
    <row r="93" s="2" customFormat="1" ht="11.25"/>
    <row r="94" s="2" customFormat="1" ht="11.25"/>
    <row r="95" s="2" customFormat="1" ht="11.25"/>
    <row r="96" s="2" customFormat="1" ht="11.25"/>
    <row r="97" s="2" customFormat="1" ht="11.25"/>
    <row r="98" s="2" customFormat="1" ht="11.25"/>
    <row r="99" s="2" customFormat="1" ht="11.25"/>
    <row r="100" s="2" customFormat="1" ht="11.25"/>
    <row r="101" s="2" customFormat="1" ht="11.25"/>
    <row r="102" s="2" customFormat="1" ht="11.25"/>
    <row r="103" s="2" customFormat="1" ht="11.25"/>
    <row r="104" s="2" customFormat="1" ht="11.25"/>
    <row r="105" s="2" customFormat="1" ht="11.25"/>
    <row r="106" s="2" customFormat="1" ht="11.25"/>
    <row r="107" s="2" customFormat="1" ht="11.25"/>
    <row r="108" s="2" customFormat="1" ht="11.25"/>
    <row r="109" s="2" customFormat="1" ht="11.25"/>
    <row r="110" s="2" customFormat="1" ht="11.25"/>
    <row r="111" s="2" customFormat="1" ht="11.25"/>
    <row r="112" s="2" customFormat="1" ht="11.25"/>
    <row r="113" s="2" customFormat="1" ht="11.25"/>
    <row r="114" s="2" customFormat="1" ht="11.25"/>
    <row r="115" s="2" customFormat="1" ht="11.25"/>
    <row r="116" s="2" customFormat="1" ht="11.25"/>
    <row r="117" s="2" customFormat="1" ht="11.25"/>
    <row r="118" s="2" customFormat="1" ht="11.25"/>
    <row r="119" s="2" customFormat="1" ht="11.25"/>
    <row r="120" s="2" customFormat="1" ht="11.25"/>
    <row r="121" s="2" customFormat="1" ht="11.25"/>
    <row r="122" s="2" customFormat="1" ht="11.25"/>
    <row r="123" s="2" customFormat="1" ht="11.25"/>
    <row r="124" s="2" customFormat="1" ht="11.25"/>
    <row r="125" s="2" customFormat="1" ht="11.25"/>
    <row r="126" s="2" customFormat="1" ht="11.25"/>
    <row r="127" s="2" customFormat="1" ht="11.25"/>
    <row r="128" s="2" customFormat="1" ht="11.25"/>
    <row r="129" s="2" customFormat="1" ht="11.25"/>
    <row r="130" s="2" customFormat="1" ht="11.25"/>
    <row r="131" s="2" customFormat="1" ht="11.25"/>
    <row r="132" s="2" customFormat="1" ht="11.25"/>
    <row r="133" s="2" customFormat="1" ht="11.25"/>
    <row r="134" s="2" customFormat="1" ht="11.25"/>
    <row r="135" s="2" customFormat="1" ht="11.25"/>
    <row r="136" s="2" customFormat="1" ht="11.25"/>
    <row r="137" s="2" customFormat="1" ht="11.25"/>
    <row r="138" s="2" customFormat="1" ht="11.25"/>
    <row r="139" s="2" customFormat="1" ht="11.25"/>
    <row r="140" s="2" customFormat="1" ht="11.25"/>
    <row r="141" s="2" customFormat="1" ht="11.25"/>
    <row r="142" s="2" customFormat="1" ht="11.25"/>
    <row r="143" s="2" customFormat="1" ht="11.25"/>
    <row r="144" s="2" customFormat="1" ht="11.25"/>
    <row r="145" s="2" customFormat="1" ht="11.25"/>
    <row r="146" s="2" customFormat="1" ht="11.25"/>
    <row r="147" s="2" customFormat="1" ht="11.25"/>
    <row r="148" s="2" customFormat="1" ht="11.25"/>
    <row r="149" s="2" customFormat="1" ht="11.25"/>
    <row r="150" s="2" customFormat="1" ht="11.25"/>
    <row r="151" s="2" customFormat="1" ht="11.25"/>
    <row r="152" s="2" customFormat="1" ht="11.25"/>
    <row r="153" s="2" customFormat="1" ht="11.25"/>
    <row r="154" s="2" customFormat="1" ht="11.25"/>
    <row r="155" s="2" customFormat="1" ht="11.25"/>
    <row r="156" s="2" customFormat="1" ht="11.25"/>
    <row r="157" s="2" customFormat="1" ht="11.25"/>
    <row r="158" s="2" customFormat="1" ht="11.25"/>
  </sheetData>
  <sheetProtection password="CD66" sheet="1" objects="1" scenarios="1"/>
  <printOptions horizontalCentered="1"/>
  <pageMargins left="0.75" right="0.75" top="0.3937007874015748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2002-04-24T20:38:10Z</cp:lastPrinted>
  <dcterms:created xsi:type="dcterms:W3CDTF">2002-03-08T14:02:03Z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