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HSBC USA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<sst xmlns="http://schemas.openxmlformats.org/spreadsheetml/2006/main" count="82" uniqueCount="70">
  <si>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>CUADRO No. 18-28       HSBC USA (1)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</si>
  <si>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</si>
  <si>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</si>
  <si>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</si>
  <si>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</si>
  <si>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</si>
  <si>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</si>
  <si>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</si>
  <si>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</si>
  <si>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</si>
  <si>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</si>
  <si>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</si>
  <si>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</si>
  <si>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</si>
  <si>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</si>
  <si>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</si>
  <si>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</si>
  <si>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</si>
  <si>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</si>
  <si>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</si>
  <si>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</si>
  <si>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</si>
  <si>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</si>
  <si>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</si>
  <si>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</si>
  <si>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</si>
  <si>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</si>
  <si>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</si>
  <si>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</si>
  <si>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</si>
  <si>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</si>
  <si>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</si>
  <si>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</si>
  <si>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</si>
  <si>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</si>
  <si>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</si>
  <si>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</si>
  <si>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</si>
  <si>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</si>
  <si>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</si>
  <si>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</si>
  <si>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</si>
  <si>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</si>
  <si>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</si>
  <si>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</si>
  <si>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</si>
  <si>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</si>
  <si>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</si>
  <si>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</si>
  <si>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</si>
  <si>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</si>
  <si>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</si>
  <si>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</si>
  <si>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</si>
  <si>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</si>
  <si>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</si>
  <si>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</si>
  <si>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</si>
  <si>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</si>
  <si>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</si>
  <si>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</si>
  <si>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</si>
  <si>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</si>
  <si>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</si>
  <si>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</si>
  <si>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</si>
  <si>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</si>
  <si>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</si>
  <si>
    <t>Nota:</t>
  </si>
  <si>
    <t>(1) Antes Chase Manhattan Bank.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</si>
</sst>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79" fontId="3" fillId="0" borderId="0" xfId="15" applyNumberFormat="1" applyFont="1" applyAlignment="1">
      <alignment horizontal="right"/>
    </xf>
    <xf numFmtId="179" fontId="3" fillId="0" borderId="1" xfId="15" applyNumberFormat="1" applyFont="1" applyBorder="1" applyAlignment="1">
      <alignment horizontal="right"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43" fontId="3" fillId="0" borderId="0" xfId="19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4" sqref="F14"/>
    </sheetView>
  </sheetViews>
  <sheetFormatPr defaultColWidth="11.421875" defaultRowHeight="12.75"/>
  <cols>
    <col min="1" max="1" width="3.57421875" style="1" customWidth="1"/>
    <col min="2" max="2" width="33.421875" style="1" customWidth="1"/>
    <col min="3" max="3" width="12.140625" style="1" customWidth="1"/>
    <col min="4" max="4" width="8.00390625" style="1" customWidth="1"/>
    <col min="5" max="5" width="8.8515625" style="1" customWidth="1"/>
    <col min="6" max="6" width="9.421875" style="1" customWidth="1"/>
    <col min="7" max="7" width="11.421875" style="1" customWidth="1"/>
    <col min="8" max="8" width="12.00390625" style="1" customWidth="1"/>
    <col min="9" max="16384" width="11.421875" style="1" customWidth="1"/>
  </cols>
  <sheetData>
    <row r="1" spans="2:8" s="2" customFormat="1" ht="11.25">
      <c r="B1" s="17"/>
      <c r="C1" s="17"/>
      <c r="D1" s="17"/>
      <c r="E1" s="17"/>
      <c r="F1" s="17"/>
      <c r="G1" s="17"/>
      <c r="H1" s="17"/>
    </row>
    <row r="2" spans="2:8" s="2" customFormat="1" ht="11.25">
      <c r="B2" s="17"/>
      <c r="C2" s="17"/>
      <c r="D2" s="17"/>
      <c r="E2" s="17"/>
      <c r="F2" s="17" t="s">
        <v>0</v>
      </c>
      <c r="G2" s="17"/>
      <c r="H2" s="17"/>
    </row>
    <row r="3" spans="2:8" s="2" customFormat="1" ht="11.25">
      <c r="B3" s="18"/>
      <c r="C3" s="18"/>
      <c r="D3" s="18"/>
      <c r="E3" s="18"/>
      <c r="F3" s="17" t="s">
        <v>1</v>
      </c>
      <c r="G3" s="18"/>
      <c r="H3" s="18"/>
    </row>
    <row r="4" spans="1:8" s="2" customFormat="1" ht="11.25">
      <c r="A4" s="18"/>
      <c r="B4" s="18"/>
      <c r="C4" s="18"/>
      <c r="D4" s="18"/>
      <c r="E4" s="18"/>
      <c r="F4" s="18" t="s">
        <v>2</v>
      </c>
      <c r="G4" s="18"/>
      <c r="H4" s="18"/>
    </row>
    <row r="5" spans="1:8" s="2" customFormat="1" ht="11.25">
      <c r="A5" s="18"/>
      <c r="B5" s="18"/>
      <c r="C5" s="18"/>
      <c r="D5" s="18"/>
      <c r="E5" s="18"/>
      <c r="F5" s="18"/>
      <c r="G5" s="18"/>
      <c r="H5" s="18"/>
    </row>
    <row r="6" spans="1:8" s="2" customFormat="1" ht="11.25">
      <c r="A6" s="19"/>
      <c r="B6" s="19"/>
      <c r="C6" s="19"/>
      <c r="D6" s="19"/>
      <c r="E6" s="19"/>
      <c r="F6" s="19"/>
      <c r="G6" s="19"/>
      <c r="H6" s="19"/>
    </row>
    <row r="7" spans="1:8" s="2" customFormat="1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s="2" customFormat="1" ht="11.25">
      <c r="A8" s="5" t="s">
        <v>9</v>
      </c>
      <c r="B8" s="5"/>
      <c r="C8" s="6"/>
      <c r="D8" s="6"/>
      <c r="E8" s="6"/>
      <c r="F8" s="6"/>
      <c r="G8" s="6"/>
      <c r="H8" s="6"/>
    </row>
    <row r="9" spans="1:8" s="2" customFormat="1" ht="11.25">
      <c r="A9" s="2" t="s">
        <v>10</v>
      </c>
      <c r="C9" s="7">
        <v>895262</v>
      </c>
      <c r="D9" s="7">
        <v>880647</v>
      </c>
      <c r="E9" s="7">
        <v>1096181</v>
      </c>
      <c r="F9" s="7">
        <v>1094188</v>
      </c>
      <c r="G9" s="7">
        <v>1104535</v>
      </c>
      <c r="H9" s="7">
        <v>1025323</v>
      </c>
    </row>
    <row r="10" spans="1:8" s="2" customFormat="1" ht="11.25">
      <c r="A10" s="2" t="s">
        <v>11</v>
      </c>
      <c r="C10" s="7">
        <v>147002</v>
      </c>
      <c r="D10" s="7">
        <v>157027</v>
      </c>
      <c r="E10" s="7">
        <v>429073</v>
      </c>
      <c r="F10" s="7">
        <v>425785</v>
      </c>
      <c r="G10" s="7">
        <v>446648</v>
      </c>
      <c r="H10" s="7">
        <v>424826</v>
      </c>
    </row>
    <row r="11" spans="1:8" s="2" customFormat="1" ht="11.25">
      <c r="A11" s="2" t="s">
        <v>12</v>
      </c>
      <c r="C11" s="7">
        <f aca="true" t="shared" si="0" ref="C11:H11">C12+C13</f>
        <v>607131</v>
      </c>
      <c r="D11" s="7">
        <f t="shared" si="0"/>
        <v>600802</v>
      </c>
      <c r="E11" s="7">
        <f t="shared" si="0"/>
        <v>623306</v>
      </c>
      <c r="F11" s="7">
        <f t="shared" si="0"/>
        <v>618234</v>
      </c>
      <c r="G11" s="7">
        <f t="shared" si="0"/>
        <v>599419</v>
      </c>
      <c r="H11" s="7">
        <f t="shared" si="0"/>
        <v>555930</v>
      </c>
    </row>
    <row r="12" spans="2:8" s="2" customFormat="1" ht="11.25">
      <c r="B12" s="2" t="s">
        <v>13</v>
      </c>
      <c r="C12" s="7">
        <v>607131</v>
      </c>
      <c r="D12" s="7">
        <v>600802</v>
      </c>
      <c r="E12" s="7">
        <v>623306</v>
      </c>
      <c r="F12" s="7">
        <v>618234</v>
      </c>
      <c r="G12" s="7">
        <v>599419</v>
      </c>
      <c r="H12" s="7">
        <v>555927</v>
      </c>
    </row>
    <row r="13" spans="2:8" s="2" customFormat="1" ht="11.25">
      <c r="B13" s="2" t="s">
        <v>14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3</v>
      </c>
    </row>
    <row r="14" spans="1:8" s="2" customFormat="1" ht="11.25">
      <c r="A14" s="2" t="s">
        <v>15</v>
      </c>
      <c r="C14" s="7">
        <v>17520</v>
      </c>
      <c r="D14" s="7">
        <v>6173</v>
      </c>
      <c r="E14" s="7">
        <v>6570</v>
      </c>
      <c r="F14" s="7">
        <v>6601</v>
      </c>
      <c r="G14" s="7">
        <v>7028</v>
      </c>
      <c r="H14" s="7">
        <v>8491</v>
      </c>
    </row>
    <row r="15" spans="1:8" s="2" customFormat="1" ht="11.25">
      <c r="A15" s="2" t="s">
        <v>16</v>
      </c>
      <c r="C15" s="7">
        <f aca="true" t="shared" si="1" ref="C15:H15">C16+C20</f>
        <v>751214</v>
      </c>
      <c r="D15" s="7">
        <f t="shared" si="1"/>
        <v>828491</v>
      </c>
      <c r="E15" s="7">
        <f t="shared" si="1"/>
        <v>1043705</v>
      </c>
      <c r="F15" s="7">
        <f t="shared" si="1"/>
        <v>1031971</v>
      </c>
      <c r="G15" s="7">
        <f t="shared" si="1"/>
        <v>1036705</v>
      </c>
      <c r="H15" s="7">
        <f t="shared" si="1"/>
        <v>954089</v>
      </c>
    </row>
    <row r="16" spans="2:8" s="2" customFormat="1" ht="11.25">
      <c r="B16" s="2" t="s">
        <v>13</v>
      </c>
      <c r="C16" s="7">
        <f aca="true" t="shared" si="2" ref="C16:H16">SUM(C17:C19)</f>
        <v>606880</v>
      </c>
      <c r="D16" s="7">
        <f t="shared" si="2"/>
        <v>593616</v>
      </c>
      <c r="E16" s="7">
        <f t="shared" si="2"/>
        <v>624832</v>
      </c>
      <c r="F16" s="7">
        <f t="shared" si="2"/>
        <v>608807</v>
      </c>
      <c r="G16" s="7">
        <f t="shared" si="2"/>
        <v>620797</v>
      </c>
      <c r="H16" s="7">
        <f t="shared" si="2"/>
        <v>534249</v>
      </c>
    </row>
    <row r="17" spans="2:8" s="2" customFormat="1" ht="11.25">
      <c r="B17" s="2" t="s">
        <v>17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2:8" s="2" customFormat="1" ht="11.25">
      <c r="B18" s="2" t="s">
        <v>18</v>
      </c>
      <c r="C18" s="7">
        <v>331524</v>
      </c>
      <c r="D18" s="7">
        <v>275592</v>
      </c>
      <c r="E18" s="7">
        <v>275848</v>
      </c>
      <c r="F18" s="7">
        <v>281537</v>
      </c>
      <c r="G18" s="7">
        <v>339535</v>
      </c>
      <c r="H18" s="7">
        <v>397855</v>
      </c>
    </row>
    <row r="19" spans="2:8" s="2" customFormat="1" ht="11.25">
      <c r="B19" s="2" t="s">
        <v>19</v>
      </c>
      <c r="C19" s="7">
        <v>275356</v>
      </c>
      <c r="D19" s="7">
        <v>318024</v>
      </c>
      <c r="E19" s="7">
        <v>348984</v>
      </c>
      <c r="F19" s="7">
        <v>327270</v>
      </c>
      <c r="G19" s="7">
        <v>281262</v>
      </c>
      <c r="H19" s="7">
        <v>136394</v>
      </c>
    </row>
    <row r="20" spans="2:8" s="2" customFormat="1" ht="11.25">
      <c r="B20" s="2" t="s">
        <v>14</v>
      </c>
      <c r="C20" s="7">
        <f aca="true" t="shared" si="3" ref="C20:H20">SUM(C21:C22)</f>
        <v>144334</v>
      </c>
      <c r="D20" s="7">
        <f t="shared" si="3"/>
        <v>234875</v>
      </c>
      <c r="E20" s="7">
        <f t="shared" si="3"/>
        <v>418873</v>
      </c>
      <c r="F20" s="7">
        <f t="shared" si="3"/>
        <v>423164</v>
      </c>
      <c r="G20" s="7">
        <f t="shared" si="3"/>
        <v>415908</v>
      </c>
      <c r="H20" s="7">
        <f t="shared" si="3"/>
        <v>419840</v>
      </c>
    </row>
    <row r="21" spans="2:8" s="2" customFormat="1" ht="11.25">
      <c r="B21" s="2" t="s">
        <v>18</v>
      </c>
      <c r="C21" s="7">
        <v>67686</v>
      </c>
      <c r="D21" s="7">
        <v>7535</v>
      </c>
      <c r="E21" s="7">
        <v>6723</v>
      </c>
      <c r="F21" s="7">
        <v>59939</v>
      </c>
      <c r="G21" s="7">
        <v>6139</v>
      </c>
      <c r="H21" s="7">
        <v>16005</v>
      </c>
    </row>
    <row r="22" spans="2:8" s="2" customFormat="1" ht="11.25">
      <c r="B22" s="2" t="s">
        <v>19</v>
      </c>
      <c r="C22" s="7">
        <v>76648</v>
      </c>
      <c r="D22" s="7">
        <v>227340</v>
      </c>
      <c r="E22" s="7">
        <v>412150</v>
      </c>
      <c r="F22" s="7">
        <v>363225</v>
      </c>
      <c r="G22" s="7">
        <v>409769</v>
      </c>
      <c r="H22" s="7">
        <v>403835</v>
      </c>
    </row>
    <row r="23" spans="1:8" s="2" customFormat="1" ht="11.25">
      <c r="A23" s="3" t="s">
        <v>20</v>
      </c>
      <c r="B23" s="3"/>
      <c r="C23" s="8">
        <v>102192</v>
      </c>
      <c r="D23" s="8">
        <v>23359</v>
      </c>
      <c r="E23" s="8">
        <v>21138</v>
      </c>
      <c r="F23" s="8">
        <v>20938</v>
      </c>
      <c r="G23" s="8">
        <v>21050</v>
      </c>
      <c r="H23" s="8">
        <v>21693</v>
      </c>
    </row>
    <row r="24" spans="1:8" s="2" customFormat="1" ht="11.25">
      <c r="A24" s="5" t="s">
        <v>21</v>
      </c>
      <c r="C24" s="7"/>
      <c r="D24" s="9"/>
      <c r="E24" s="7"/>
      <c r="F24" s="7"/>
      <c r="G24" s="7"/>
      <c r="H24" s="7"/>
    </row>
    <row r="25" spans="1:8" s="2" customFormat="1" ht="11.25">
      <c r="A25" s="2" t="s">
        <v>10</v>
      </c>
      <c r="C25" s="7">
        <f>(895262+1104535)/2</f>
        <v>999898.5</v>
      </c>
      <c r="D25" s="7">
        <f>(D9+1039052)/2</f>
        <v>959849.5</v>
      </c>
      <c r="E25" s="7">
        <f>(E9+1050653)/2</f>
        <v>1073417</v>
      </c>
      <c r="F25" s="7">
        <f>(F9+1038916)/2</f>
        <v>1066552</v>
      </c>
      <c r="G25" s="7">
        <f>(G9+H9)/2</f>
        <v>1064929</v>
      </c>
      <c r="H25" s="7">
        <f>(H9+842851)/2</f>
        <v>934087</v>
      </c>
    </row>
    <row r="26" spans="1:8" s="2" customFormat="1" ht="11.25">
      <c r="A26" s="2" t="s">
        <v>22</v>
      </c>
      <c r="C26" s="7">
        <f aca="true" t="shared" si="4" ref="C26:H26">C27+C28</f>
        <v>615549</v>
      </c>
      <c r="D26" s="7">
        <f t="shared" si="4"/>
        <v>607549</v>
      </c>
      <c r="E26" s="7">
        <f t="shared" si="4"/>
        <v>613917</v>
      </c>
      <c r="F26" s="7">
        <f t="shared" si="4"/>
        <v>598509</v>
      </c>
      <c r="G26" s="7">
        <f t="shared" si="4"/>
        <v>585434</v>
      </c>
      <c r="H26" s="7">
        <f t="shared" si="4"/>
        <v>522119.5</v>
      </c>
    </row>
    <row r="27" spans="2:8" s="2" customFormat="1" ht="11.25">
      <c r="B27" s="2" t="s">
        <v>12</v>
      </c>
      <c r="C27" s="7">
        <f>(C11+G11)/2</f>
        <v>603275</v>
      </c>
      <c r="D27" s="9">
        <f>(D11+600740)/2</f>
        <v>600771</v>
      </c>
      <c r="E27" s="7">
        <f>(E11+590224)/2</f>
        <v>606765</v>
      </c>
      <c r="F27" s="7">
        <f>(F11+563734)/2</f>
        <v>590984</v>
      </c>
      <c r="G27" s="7">
        <f>(G11+H11)/2</f>
        <v>577674.5</v>
      </c>
      <c r="H27" s="7">
        <f>(H11+472003)/2</f>
        <v>513966.5</v>
      </c>
    </row>
    <row r="28" spans="2:8" s="2" customFormat="1" ht="11.25">
      <c r="B28" s="2" t="s">
        <v>15</v>
      </c>
      <c r="C28" s="7">
        <f>(C14+G14)/2</f>
        <v>12274</v>
      </c>
      <c r="D28" s="9">
        <f>(D14+7383)/2</f>
        <v>6778</v>
      </c>
      <c r="E28" s="7">
        <f>(E14+7734)/2</f>
        <v>7152</v>
      </c>
      <c r="F28" s="7">
        <f>(F14+8449)/2</f>
        <v>7525</v>
      </c>
      <c r="G28" s="7">
        <f>(G14+H14)/2</f>
        <v>7759.5</v>
      </c>
      <c r="H28" s="7">
        <f>(H14+7815)/2</f>
        <v>8153</v>
      </c>
    </row>
    <row r="29" spans="1:8" s="2" customFormat="1" ht="11.25">
      <c r="A29" s="3" t="s">
        <v>20</v>
      </c>
      <c r="B29" s="3"/>
      <c r="C29" s="8">
        <f>(C23+G23)/2</f>
        <v>61621</v>
      </c>
      <c r="D29" s="10">
        <f>(D23+21659)/2</f>
        <v>22509</v>
      </c>
      <c r="E29" s="8">
        <f>(E23+21451)/2</f>
        <v>21294.5</v>
      </c>
      <c r="F29" s="8">
        <f>(F23+20449)/2</f>
        <v>20693.5</v>
      </c>
      <c r="G29" s="8">
        <f>(G23+H23)/2</f>
        <v>21371.5</v>
      </c>
      <c r="H29" s="8">
        <f>(H23+23081)/2</f>
        <v>22387</v>
      </c>
    </row>
    <row r="30" s="2" customFormat="1" ht="11.25">
      <c r="A30" s="5" t="s">
        <v>23</v>
      </c>
    </row>
    <row r="31" spans="1:8" s="2" customFormat="1" ht="11.25">
      <c r="A31" s="2" t="s">
        <v>24</v>
      </c>
      <c r="C31" s="7">
        <f>16776+D31</f>
        <v>76303</v>
      </c>
      <c r="D31" s="7">
        <f>17181+E31</f>
        <v>59527</v>
      </c>
      <c r="E31" s="7">
        <f>21379+F31</f>
        <v>42346</v>
      </c>
      <c r="F31" s="7">
        <v>20967</v>
      </c>
      <c r="G31" s="7">
        <v>78724</v>
      </c>
      <c r="H31" s="7">
        <v>70530</v>
      </c>
    </row>
    <row r="32" spans="1:8" s="2" customFormat="1" ht="11.25">
      <c r="A32" s="2" t="s">
        <v>25</v>
      </c>
      <c r="C32" s="7">
        <f>10765+D32</f>
        <v>48147</v>
      </c>
      <c r="D32" s="7">
        <f>10786+E32</f>
        <v>37382</v>
      </c>
      <c r="E32" s="7">
        <f>14213+F32</f>
        <v>26596</v>
      </c>
      <c r="F32" s="7">
        <v>12383</v>
      </c>
      <c r="G32" s="7">
        <v>44137</v>
      </c>
      <c r="H32" s="7">
        <v>35615</v>
      </c>
    </row>
    <row r="33" spans="1:8" s="2" customFormat="1" ht="11.25">
      <c r="A33" s="2" t="s">
        <v>26</v>
      </c>
      <c r="C33" s="7">
        <f aca="true" t="shared" si="5" ref="C33:H33">C31-C32</f>
        <v>28156</v>
      </c>
      <c r="D33" s="7">
        <f t="shared" si="5"/>
        <v>22145</v>
      </c>
      <c r="E33" s="7">
        <f t="shared" si="5"/>
        <v>15750</v>
      </c>
      <c r="F33" s="7">
        <f t="shared" si="5"/>
        <v>8584</v>
      </c>
      <c r="G33" s="7">
        <f t="shared" si="5"/>
        <v>34587</v>
      </c>
      <c r="H33" s="7">
        <f t="shared" si="5"/>
        <v>34915</v>
      </c>
    </row>
    <row r="34" spans="1:8" s="2" customFormat="1" ht="11.25">
      <c r="A34" s="2" t="s">
        <v>27</v>
      </c>
      <c r="C34" s="7">
        <f>3507+D34</f>
        <v>17256</v>
      </c>
      <c r="D34" s="7">
        <f>7002+E34</f>
        <v>13749</v>
      </c>
      <c r="E34" s="7">
        <f>3798+F34</f>
        <v>6747</v>
      </c>
      <c r="F34" s="7">
        <v>2949</v>
      </c>
      <c r="G34" s="7">
        <v>14408</v>
      </c>
      <c r="H34" s="7">
        <v>10733</v>
      </c>
    </row>
    <row r="35" spans="1:8" s="2" customFormat="1" ht="11.25">
      <c r="A35" s="2" t="s">
        <v>28</v>
      </c>
      <c r="C35" s="7">
        <f aca="true" t="shared" si="6" ref="C35:H35">C33+C34</f>
        <v>45412</v>
      </c>
      <c r="D35" s="7">
        <f t="shared" si="6"/>
        <v>35894</v>
      </c>
      <c r="E35" s="7">
        <f t="shared" si="6"/>
        <v>22497</v>
      </c>
      <c r="F35" s="7">
        <f t="shared" si="6"/>
        <v>11533</v>
      </c>
      <c r="G35" s="7">
        <f t="shared" si="6"/>
        <v>48995</v>
      </c>
      <c r="H35" s="7">
        <f t="shared" si="6"/>
        <v>45648</v>
      </c>
    </row>
    <row r="36" spans="1:8" s="2" customFormat="1" ht="11.25">
      <c r="A36" s="2" t="s">
        <v>29</v>
      </c>
      <c r="C36" s="7">
        <f>8639+D36</f>
        <v>36739</v>
      </c>
      <c r="D36" s="7">
        <f>12360+E36</f>
        <v>28100</v>
      </c>
      <c r="E36" s="7">
        <f>7339+F36</f>
        <v>15740</v>
      </c>
      <c r="F36" s="7">
        <v>8401</v>
      </c>
      <c r="G36" s="7">
        <v>30479</v>
      </c>
      <c r="H36" s="7">
        <v>28999</v>
      </c>
    </row>
    <row r="37" spans="1:8" s="2" customFormat="1" ht="11.25">
      <c r="A37" s="2" t="s">
        <v>30</v>
      </c>
      <c r="C37" s="7">
        <f aca="true" t="shared" si="7" ref="C37:H37">C35-C36</f>
        <v>8673</v>
      </c>
      <c r="D37" s="7">
        <f t="shared" si="7"/>
        <v>7794</v>
      </c>
      <c r="E37" s="7">
        <f t="shared" si="7"/>
        <v>6757</v>
      </c>
      <c r="F37" s="7">
        <f t="shared" si="7"/>
        <v>3132</v>
      </c>
      <c r="G37" s="7">
        <f t="shared" si="7"/>
        <v>18516</v>
      </c>
      <c r="H37" s="7">
        <f t="shared" si="7"/>
        <v>16649</v>
      </c>
    </row>
    <row r="38" spans="1:8" s="2" customFormat="1" ht="11.25">
      <c r="A38" s="3" t="s">
        <v>31</v>
      </c>
      <c r="B38" s="3"/>
      <c r="C38" s="8">
        <f>-3668+D38</f>
        <v>-1005</v>
      </c>
      <c r="D38" s="8">
        <f>-1105+E38</f>
        <v>2663</v>
      </c>
      <c r="E38" s="8">
        <f>1630+F38</f>
        <v>3768</v>
      </c>
      <c r="F38" s="8">
        <v>2138</v>
      </c>
      <c r="G38" s="8">
        <v>14889</v>
      </c>
      <c r="H38" s="8">
        <v>14924</v>
      </c>
    </row>
    <row r="39" spans="1:8" s="2" customFormat="1" ht="11.25">
      <c r="A39" s="5" t="s">
        <v>32</v>
      </c>
      <c r="C39" s="7"/>
      <c r="D39" s="7"/>
      <c r="E39" s="7"/>
      <c r="F39" s="7"/>
      <c r="G39" s="7"/>
      <c r="H39" s="7"/>
    </row>
    <row r="40" spans="1:8" s="2" customFormat="1" ht="11.25">
      <c r="A40" s="2" t="s">
        <v>33</v>
      </c>
      <c r="C40" s="7">
        <v>0</v>
      </c>
      <c r="D40" s="7">
        <v>0</v>
      </c>
      <c r="E40" s="7">
        <v>28019</v>
      </c>
      <c r="F40" s="7">
        <v>15442</v>
      </c>
      <c r="G40" s="7">
        <v>9440</v>
      </c>
      <c r="H40" s="7">
        <v>11178</v>
      </c>
    </row>
    <row r="41" spans="1:8" s="2" customFormat="1" ht="11.25">
      <c r="A41" s="2" t="s">
        <v>34</v>
      </c>
      <c r="C41" s="7">
        <v>8969</v>
      </c>
      <c r="D41" s="7">
        <v>7868</v>
      </c>
      <c r="E41" s="7">
        <v>5078</v>
      </c>
      <c r="F41" s="7">
        <v>5103</v>
      </c>
      <c r="G41" s="7">
        <v>5824</v>
      </c>
      <c r="H41" s="7">
        <v>4620</v>
      </c>
    </row>
    <row r="42" spans="1:8" s="2" customFormat="1" ht="11.25">
      <c r="A42" s="2" t="s">
        <v>35</v>
      </c>
      <c r="C42" s="11">
        <f aca="true" t="shared" si="8" ref="C42:H42">C40/C11</f>
        <v>0</v>
      </c>
      <c r="D42" s="11">
        <f t="shared" si="8"/>
        <v>0</v>
      </c>
      <c r="E42" s="11">
        <f t="shared" si="8"/>
        <v>0.04495223854735876</v>
      </c>
      <c r="F42" s="11">
        <f t="shared" si="8"/>
        <v>0.024977597479271602</v>
      </c>
      <c r="G42" s="11">
        <f t="shared" si="8"/>
        <v>0.015748583211409716</v>
      </c>
      <c r="H42" s="11">
        <f t="shared" si="8"/>
        <v>0.020106847984458474</v>
      </c>
    </row>
    <row r="43" spans="1:8" s="2" customFormat="1" ht="11.25">
      <c r="A43" s="2" t="s">
        <v>36</v>
      </c>
      <c r="C43" s="11">
        <f aca="true" t="shared" si="9" ref="C43:H43">(C41)/C11</f>
        <v>0.014772759091530493</v>
      </c>
      <c r="D43" s="11">
        <f t="shared" si="9"/>
        <v>0.013095828575803676</v>
      </c>
      <c r="E43" s="11">
        <f t="shared" si="9"/>
        <v>0.008146881307094749</v>
      </c>
      <c r="F43" s="11">
        <f t="shared" si="9"/>
        <v>0.008254156193286037</v>
      </c>
      <c r="G43" s="11">
        <f t="shared" si="9"/>
        <v>0.009716075066022265</v>
      </c>
      <c r="H43" s="11">
        <f t="shared" si="9"/>
        <v>0.00831039879121472</v>
      </c>
    </row>
    <row r="44" spans="1:8" s="2" customFormat="1" ht="11.25">
      <c r="A44" s="12" t="s">
        <v>37</v>
      </c>
      <c r="C44" s="11">
        <f aca="true" t="shared" si="10" ref="C44:H44">(C40+C41)/C11</f>
        <v>0.014772759091530493</v>
      </c>
      <c r="D44" s="11">
        <f t="shared" si="10"/>
        <v>0.013095828575803676</v>
      </c>
      <c r="E44" s="11">
        <f t="shared" si="10"/>
        <v>0.05309911985445351</v>
      </c>
      <c r="F44" s="11">
        <f t="shared" si="10"/>
        <v>0.03323175367255764</v>
      </c>
      <c r="G44" s="11">
        <f t="shared" si="10"/>
        <v>0.02546465827743198</v>
      </c>
      <c r="H44" s="11">
        <f t="shared" si="10"/>
        <v>0.028417246775673196</v>
      </c>
    </row>
    <row r="45" spans="1:8" s="2" customFormat="1" ht="11.25">
      <c r="A45" s="2" t="s">
        <v>38</v>
      </c>
      <c r="C45" s="11">
        <v>0.0064</v>
      </c>
      <c r="D45" s="11">
        <v>0</v>
      </c>
      <c r="E45" s="11">
        <v>0</v>
      </c>
      <c r="F45" s="11">
        <v>0</v>
      </c>
      <c r="G45" s="11">
        <v>0</v>
      </c>
      <c r="H45" s="11">
        <f>(0/H11)</f>
        <v>0</v>
      </c>
    </row>
    <row r="46" spans="1:8" s="2" customFormat="1" ht="11.25">
      <c r="A46" s="3" t="s">
        <v>39</v>
      </c>
      <c r="B46" s="3"/>
      <c r="C46" s="13">
        <v>0.1665</v>
      </c>
      <c r="D46" s="13">
        <v>0</v>
      </c>
      <c r="E46" s="13">
        <v>0</v>
      </c>
      <c r="F46" s="13">
        <v>0</v>
      </c>
      <c r="G46" s="13">
        <v>0</v>
      </c>
      <c r="H46" s="13">
        <f>1/(H40+H41)</f>
        <v>6.3299151791366E-05</v>
      </c>
    </row>
    <row r="47" s="2" customFormat="1" ht="11.25">
      <c r="A47" s="5" t="s">
        <v>40</v>
      </c>
    </row>
    <row r="48" spans="1:8" s="2" customFormat="1" ht="11.25">
      <c r="A48" s="2" t="s">
        <v>41</v>
      </c>
      <c r="C48" s="11">
        <f aca="true" t="shared" si="11" ref="C48:H48">C23/(C11+C14)</f>
        <v>0.16359855343223656</v>
      </c>
      <c r="D48" s="11">
        <f t="shared" si="11"/>
        <v>0.03848428683224186</v>
      </c>
      <c r="E48" s="11">
        <f t="shared" si="11"/>
        <v>0.03355898621315941</v>
      </c>
      <c r="F48" s="11">
        <f t="shared" si="11"/>
        <v>0.033509646546688324</v>
      </c>
      <c r="G48" s="11">
        <f t="shared" si="11"/>
        <v>0.034710370403349344</v>
      </c>
      <c r="H48" s="11">
        <f t="shared" si="11"/>
        <v>0.038434076690980666</v>
      </c>
    </row>
    <row r="49" spans="1:8" s="2" customFormat="1" ht="11.25">
      <c r="A49" s="3" t="s">
        <v>42</v>
      </c>
      <c r="B49" s="3"/>
      <c r="C49" s="13">
        <f aca="true" t="shared" si="12" ref="C49:H49">C23/C9</f>
        <v>0.11414759031434374</v>
      </c>
      <c r="D49" s="13">
        <f t="shared" si="12"/>
        <v>0.026524816413386977</v>
      </c>
      <c r="E49" s="13">
        <f t="shared" si="12"/>
        <v>0.01928331178883779</v>
      </c>
      <c r="F49" s="13">
        <f t="shared" si="12"/>
        <v>0.019135651277476996</v>
      </c>
      <c r="G49" s="13">
        <f t="shared" si="12"/>
        <v>0.019057793551132376</v>
      </c>
      <c r="H49" s="13">
        <f t="shared" si="12"/>
        <v>0.02115723532974487</v>
      </c>
    </row>
    <row r="50" spans="1:8" s="2" customFormat="1" ht="11.25">
      <c r="A50" s="5" t="s">
        <v>43</v>
      </c>
      <c r="C50" s="14"/>
      <c r="D50" s="14"/>
      <c r="E50" s="14"/>
      <c r="F50" s="14"/>
      <c r="G50" s="14"/>
      <c r="H50" s="14"/>
    </row>
    <row r="51" spans="1:8" s="2" customFormat="1" ht="11.25">
      <c r="A51" s="2" t="s">
        <v>44</v>
      </c>
      <c r="C51" s="14">
        <f aca="true" t="shared" si="13" ref="C51:H51">C10/C15</f>
        <v>0.19568591639665928</v>
      </c>
      <c r="D51" s="14">
        <f t="shared" si="13"/>
        <v>0.18953374267191797</v>
      </c>
      <c r="E51" s="14">
        <f t="shared" si="13"/>
        <v>0.4111056285061392</v>
      </c>
      <c r="F51" s="14">
        <f t="shared" si="13"/>
        <v>0.4125939585511608</v>
      </c>
      <c r="G51" s="14">
        <f t="shared" si="13"/>
        <v>0.43083422960244233</v>
      </c>
      <c r="H51" s="14">
        <f t="shared" si="13"/>
        <v>0.4452687327911757</v>
      </c>
    </row>
    <row r="52" spans="1:8" s="2" customFormat="1" ht="11.25">
      <c r="A52" s="2" t="s">
        <v>45</v>
      </c>
      <c r="C52" s="14">
        <f aca="true" t="shared" si="14" ref="C52:H52">C10/C9</f>
        <v>0.1641999772133744</v>
      </c>
      <c r="D52" s="14">
        <f t="shared" si="14"/>
        <v>0.17830867532620903</v>
      </c>
      <c r="E52" s="14">
        <f t="shared" si="14"/>
        <v>0.3914253211832717</v>
      </c>
      <c r="F52" s="14">
        <f t="shared" si="14"/>
        <v>0.38913331164297177</v>
      </c>
      <c r="G52" s="14">
        <f t="shared" si="14"/>
        <v>0.4043765023290344</v>
      </c>
      <c r="H52" s="14">
        <f t="shared" si="14"/>
        <v>0.41433382456065065</v>
      </c>
    </row>
    <row r="53" spans="1:8" s="2" customFormat="1" ht="11.25">
      <c r="A53" s="3" t="s">
        <v>46</v>
      </c>
      <c r="B53" s="3"/>
      <c r="C53" s="15">
        <f aca="true" t="shared" si="15" ref="C53:H53">(C10+C14)/C15</f>
        <v>0.2190081654495257</v>
      </c>
      <c r="D53" s="15">
        <f t="shared" si="15"/>
        <v>0.19698463833644542</v>
      </c>
      <c r="E53" s="15">
        <f t="shared" si="15"/>
        <v>0.4174005106807</v>
      </c>
      <c r="F53" s="15">
        <f t="shared" si="15"/>
        <v>0.41899045612715863</v>
      </c>
      <c r="G53" s="15">
        <f t="shared" si="15"/>
        <v>0.437613400147583</v>
      </c>
      <c r="H53" s="15">
        <f t="shared" si="15"/>
        <v>0.45416832182322614</v>
      </c>
    </row>
    <row r="54" s="2" customFormat="1" ht="11.25">
      <c r="A54" s="5" t="s">
        <v>47</v>
      </c>
    </row>
    <row r="55" spans="1:8" s="2" customFormat="1" ht="11.25">
      <c r="A55" s="2" t="s">
        <v>48</v>
      </c>
      <c r="C55" s="11">
        <f>C38/C26</f>
        <v>-0.001632688867986139</v>
      </c>
      <c r="D55" s="11">
        <f>(D38/0.75)/D26</f>
        <v>0.005844247405010405</v>
      </c>
      <c r="E55" s="11">
        <f>(E38/0.5)/E26</f>
        <v>0.012275274996457176</v>
      </c>
      <c r="F55" s="11">
        <f>((F38)/0.25)/F26</f>
        <v>0.01428884110347547</v>
      </c>
      <c r="G55" s="11">
        <f>G38/G26</f>
        <v>0.02543241424310853</v>
      </c>
      <c r="H55" s="11">
        <f>H38/H26</f>
        <v>0.028583494774663654</v>
      </c>
    </row>
    <row r="56" spans="1:8" s="2" customFormat="1" ht="11.25">
      <c r="A56" s="2" t="s">
        <v>49</v>
      </c>
      <c r="C56" s="11">
        <f>C38/C25</f>
        <v>-0.0010051020178548124</v>
      </c>
      <c r="D56" s="11">
        <f>(D38/0.75)/D25</f>
        <v>0.0036991910363725422</v>
      </c>
      <c r="E56" s="11">
        <f>(E38/0.5)/E25</f>
        <v>0.00702057075675157</v>
      </c>
      <c r="F56" s="11">
        <f>((F38)/0.25)/F25</f>
        <v>0.008018361973912196</v>
      </c>
      <c r="G56" s="11">
        <f>G38/G25</f>
        <v>0.013981213771058916</v>
      </c>
      <c r="H56" s="11">
        <f>H38/H25</f>
        <v>0.01597709849296693</v>
      </c>
    </row>
    <row r="57" spans="1:8" s="2" customFormat="1" ht="11.25">
      <c r="A57" s="2" t="s">
        <v>50</v>
      </c>
      <c r="C57" s="11">
        <f>C38/C29</f>
        <v>-0.01630937505071323</v>
      </c>
      <c r="D57" s="11">
        <f>(D38/0.75)/D29</f>
        <v>0.15774430968353398</v>
      </c>
      <c r="E57" s="11">
        <f>(E38/0.5)/E29</f>
        <v>0.3538941980323558</v>
      </c>
      <c r="F57" s="11">
        <f>((F38)/0.25)/F29</f>
        <v>0.4132698673496509</v>
      </c>
      <c r="G57" s="11">
        <f>G38/G29</f>
        <v>0.6966754790258054</v>
      </c>
      <c r="H57" s="11">
        <f>H38/H29</f>
        <v>0.6666368874793407</v>
      </c>
    </row>
    <row r="58" spans="1:8" s="2" customFormat="1" ht="11.25">
      <c r="A58" s="2" t="s">
        <v>51</v>
      </c>
      <c r="C58" s="11">
        <f>C31/C25</f>
        <v>0.07631074554067238</v>
      </c>
      <c r="D58" s="11">
        <f>(D31/0.75)/D25</f>
        <v>0.08268935216753598</v>
      </c>
      <c r="E58" s="11">
        <f>(E31/0.5)/E25</f>
        <v>0.07889943982627441</v>
      </c>
      <c r="F58" s="11">
        <f>((F31)/0.25)/F25</f>
        <v>0.07863470323059729</v>
      </c>
      <c r="G58" s="11">
        <f>G31/G25</f>
        <v>0.07392417710476473</v>
      </c>
      <c r="H58" s="11">
        <f>H31/H25</f>
        <v>0.07550688533295079</v>
      </c>
    </row>
    <row r="59" spans="1:8" s="2" customFormat="1" ht="11.25">
      <c r="A59" s="2" t="s">
        <v>52</v>
      </c>
      <c r="C59" s="11">
        <f>C32/C25</f>
        <v>0.04815188741657278</v>
      </c>
      <c r="D59" s="11">
        <f>(D32/0.75)/D25</f>
        <v>0.05192758517524535</v>
      </c>
      <c r="E59" s="11">
        <f>(E32/0.5)/E25</f>
        <v>0.04955390123316474</v>
      </c>
      <c r="F59" s="11">
        <f>((F32)/0.25)/F25</f>
        <v>0.04644124243356161</v>
      </c>
      <c r="G59" s="11">
        <f>G32/G25</f>
        <v>0.041445955551966375</v>
      </c>
      <c r="H59" s="11">
        <f>H32/H25</f>
        <v>0.03812814009829919</v>
      </c>
    </row>
    <row r="60" spans="1:8" s="2" customFormat="1" ht="11.25">
      <c r="A60" s="2" t="s">
        <v>53</v>
      </c>
      <c r="C60" s="11">
        <f>C33/C25</f>
        <v>0.028158858124099597</v>
      </c>
      <c r="D60" s="11">
        <f>(D33)/0.75/D25</f>
        <v>0.030761766992290634</v>
      </c>
      <c r="E60" s="11">
        <f>(E33/0.5)/E25</f>
        <v>0.029345538593109666</v>
      </c>
      <c r="F60" s="11">
        <f>((F33)/0.25)/F25</f>
        <v>0.03219346079703568</v>
      </c>
      <c r="G60" s="11">
        <f>G33/G25</f>
        <v>0.03247822155279836</v>
      </c>
      <c r="H60" s="11">
        <f>H33/H25</f>
        <v>0.03737874523465159</v>
      </c>
    </row>
    <row r="61" spans="1:8" s="2" customFormat="1" ht="11.25">
      <c r="A61" s="2" t="s">
        <v>54</v>
      </c>
      <c r="C61" s="11">
        <f>C36/C35</f>
        <v>0.8090152382630141</v>
      </c>
      <c r="D61" s="11">
        <f>(D36/0.75)/(D35/0.75)</f>
        <v>0.7828606452331865</v>
      </c>
      <c r="E61" s="11">
        <f>(E36/0.5)/(E35/0.5)</f>
        <v>0.6996488420678313</v>
      </c>
      <c r="F61" s="11">
        <f>(F36/0.25)/(F35/0.25)</f>
        <v>0.7284314575565768</v>
      </c>
      <c r="G61" s="11">
        <f>G36/G35</f>
        <v>0.6220838861108277</v>
      </c>
      <c r="H61" s="11">
        <f>H36/H35</f>
        <v>0.6352742726954084</v>
      </c>
    </row>
    <row r="62" spans="1:8" s="2" customFormat="1" ht="11.25">
      <c r="A62" s="3" t="s">
        <v>55</v>
      </c>
      <c r="B62" s="3"/>
      <c r="C62" s="13">
        <f>C34/C25</f>
        <v>0.017257751661793674</v>
      </c>
      <c r="D62" s="13">
        <f>(D34/0.75)/D25</f>
        <v>0.019098827472431877</v>
      </c>
      <c r="E62" s="13">
        <f>(E34/0.5)/E25</f>
        <v>0.012571069770648313</v>
      </c>
      <c r="F62" s="13">
        <f>(F34/0.25)/F25</f>
        <v>0.01105993894343642</v>
      </c>
      <c r="G62" s="13">
        <f>G34/G25</f>
        <v>0.01352954046701705</v>
      </c>
      <c r="H62" s="13">
        <f>H34/H25</f>
        <v>0.011490364387899629</v>
      </c>
    </row>
    <row r="63" s="2" customFormat="1" ht="11.25">
      <c r="A63" s="5" t="s">
        <v>56</v>
      </c>
    </row>
    <row r="64" spans="1:8" s="2" customFormat="1" ht="11.25">
      <c r="A64" s="2" t="s">
        <v>57</v>
      </c>
      <c r="C64" s="7">
        <v>567</v>
      </c>
      <c r="D64" s="7">
        <v>567</v>
      </c>
      <c r="E64" s="7">
        <v>574</v>
      </c>
      <c r="F64" s="7">
        <v>559</v>
      </c>
      <c r="G64" s="7">
        <v>552</v>
      </c>
      <c r="H64" s="7">
        <v>542</v>
      </c>
    </row>
    <row r="65" spans="1:8" s="2" customFormat="1" ht="11.25">
      <c r="A65" s="2" t="s">
        <v>58</v>
      </c>
      <c r="C65" s="7">
        <v>10</v>
      </c>
      <c r="D65" s="7">
        <v>10</v>
      </c>
      <c r="E65" s="7">
        <v>10</v>
      </c>
      <c r="F65" s="7">
        <v>10</v>
      </c>
      <c r="G65" s="7">
        <v>10</v>
      </c>
      <c r="H65" s="7">
        <v>10</v>
      </c>
    </row>
    <row r="66" spans="1:8" s="2" customFormat="1" ht="11.25">
      <c r="A66" s="2" t="s">
        <v>59</v>
      </c>
      <c r="C66" s="7">
        <f aca="true" t="shared" si="16" ref="C66:H66">C11/C64</f>
        <v>1070.7777777777778</v>
      </c>
      <c r="D66" s="7">
        <f t="shared" si="16"/>
        <v>1059.615520282187</v>
      </c>
      <c r="E66" s="7">
        <f t="shared" si="16"/>
        <v>1085.8989547038327</v>
      </c>
      <c r="F66" s="7">
        <f t="shared" si="16"/>
        <v>1105.964221824687</v>
      </c>
      <c r="G66" s="7">
        <f t="shared" si="16"/>
        <v>1085.9039855072465</v>
      </c>
      <c r="H66" s="7">
        <f t="shared" si="16"/>
        <v>1025.70110701107</v>
      </c>
    </row>
    <row r="67" spans="1:8" s="2" customFormat="1" ht="11.25">
      <c r="A67" s="2" t="s">
        <v>60</v>
      </c>
      <c r="C67" s="7">
        <f aca="true" t="shared" si="17" ref="C67:H67">C15/C64</f>
        <v>1324.8924162257495</v>
      </c>
      <c r="D67" s="7">
        <f t="shared" si="17"/>
        <v>1461.1834215167548</v>
      </c>
      <c r="E67" s="7">
        <f t="shared" si="17"/>
        <v>1818.301393728223</v>
      </c>
      <c r="F67" s="7">
        <f t="shared" si="17"/>
        <v>1846.1019677996421</v>
      </c>
      <c r="G67" s="7">
        <f t="shared" si="17"/>
        <v>1878.088768115942</v>
      </c>
      <c r="H67" s="7">
        <f t="shared" si="17"/>
        <v>1760.3118081180812</v>
      </c>
    </row>
    <row r="68" spans="1:8" s="2" customFormat="1" ht="11.25">
      <c r="A68" s="3" t="s">
        <v>61</v>
      </c>
      <c r="B68" s="3"/>
      <c r="C68" s="8">
        <f aca="true" t="shared" si="18" ref="C68:H68">(C38/C64)</f>
        <v>-1.7724867724867726</v>
      </c>
      <c r="D68" s="8">
        <f t="shared" si="18"/>
        <v>4.696649029982363</v>
      </c>
      <c r="E68" s="8">
        <f t="shared" si="18"/>
        <v>6.564459930313589</v>
      </c>
      <c r="F68" s="8">
        <f t="shared" si="18"/>
        <v>3.8246869409660107</v>
      </c>
      <c r="G68" s="8">
        <f t="shared" si="18"/>
        <v>26.972826086956523</v>
      </c>
      <c r="H68" s="8">
        <f t="shared" si="18"/>
        <v>27.535055350553506</v>
      </c>
    </row>
    <row r="69" s="2" customFormat="1" ht="11.25">
      <c r="A69" s="5" t="s">
        <v>62</v>
      </c>
    </row>
    <row r="70" spans="1:8" s="2" customFormat="1" ht="11.25">
      <c r="A70" s="2" t="s">
        <v>63</v>
      </c>
      <c r="C70" s="11">
        <f>(C9/G9)-1</f>
        <v>-0.18946706079934095</v>
      </c>
      <c r="D70" s="11">
        <f>(D9/378421)-1</f>
        <v>1.3271620761004277</v>
      </c>
      <c r="E70" s="11">
        <f>(E9/1050653)-1</f>
        <v>0.04333305096925444</v>
      </c>
      <c r="F70" s="11">
        <f>(F9/1038916)-1</f>
        <v>0.05320160628963255</v>
      </c>
      <c r="G70" s="11">
        <f>(G9/H9)-1</f>
        <v>0.07725565504723875</v>
      </c>
      <c r="H70" s="11">
        <f>(H9/842852)-1</f>
        <v>0.21649233791934996</v>
      </c>
    </row>
    <row r="71" spans="1:8" s="2" customFormat="1" ht="11.25">
      <c r="A71" s="2" t="s">
        <v>64</v>
      </c>
      <c r="C71" s="11">
        <f>(C11/G11)-1</f>
        <v>0.012865791708304153</v>
      </c>
      <c r="D71" s="11">
        <f>D11/600740-1</f>
        <v>0.00010320604587676918</v>
      </c>
      <c r="E71" s="11">
        <f>E11/590224-1</f>
        <v>0.05604990647618524</v>
      </c>
      <c r="F71" s="11">
        <f>F11/563734-1</f>
        <v>0.09667680147019686</v>
      </c>
      <c r="G71" s="11">
        <f>(G11/H11)-1</f>
        <v>0.07822747468206437</v>
      </c>
      <c r="H71" s="11">
        <f>H11/472003-1</f>
        <v>0.17781031052768737</v>
      </c>
    </row>
    <row r="72" spans="2:8" s="2" customFormat="1" ht="11.25">
      <c r="B72" s="2" t="s">
        <v>13</v>
      </c>
      <c r="C72" s="11">
        <f>(C12/G12)-1</f>
        <v>0.012865791708304153</v>
      </c>
      <c r="D72" s="11">
        <f>(D12/600740)-1</f>
        <v>0.00010320604587676918</v>
      </c>
      <c r="E72" s="11">
        <f>(E12/590224)-1</f>
        <v>0.05604990647618524</v>
      </c>
      <c r="F72" s="11">
        <f>(F12/563734)-1</f>
        <v>0.09667680147019686</v>
      </c>
      <c r="G72" s="11">
        <f>(G12/H12)-1</f>
        <v>0.07823329322015304</v>
      </c>
      <c r="H72" s="11">
        <f>(H12/471999)-1</f>
        <v>0.17781393604647477</v>
      </c>
    </row>
    <row r="73" spans="2:8" s="2" customFormat="1" ht="11.25">
      <c r="B73" s="2" t="s">
        <v>14</v>
      </c>
      <c r="C73" s="11">
        <v>0</v>
      </c>
      <c r="D73" s="11">
        <v>0</v>
      </c>
      <c r="E73" s="11">
        <v>0</v>
      </c>
      <c r="F73" s="11">
        <v>0</v>
      </c>
      <c r="G73" s="11">
        <f>(G13/H13)-1</f>
        <v>-1</v>
      </c>
      <c r="H73" s="11">
        <f>(H13/4)-1</f>
        <v>-0.25</v>
      </c>
    </row>
    <row r="74" spans="1:8" s="2" customFormat="1" ht="11.25">
      <c r="A74" s="2" t="s">
        <v>65</v>
      </c>
      <c r="C74" s="11">
        <f>(C15/G15)-1</f>
        <v>-0.27538306461336637</v>
      </c>
      <c r="D74" s="16">
        <f>D15/976691-1</f>
        <v>-0.15173683386045334</v>
      </c>
      <c r="E74" s="11">
        <f>E15/989400-1</f>
        <v>0.05488680008085711</v>
      </c>
      <c r="F74" s="11">
        <f>F15/975006-1</f>
        <v>0.058425281485447345</v>
      </c>
      <c r="G74" s="11">
        <f>(G15/H15)-1</f>
        <v>0.08659150246989533</v>
      </c>
      <c r="H74" s="11">
        <f>H15/783569-1</f>
        <v>0.21761963528419326</v>
      </c>
    </row>
    <row r="75" spans="2:8" s="2" customFormat="1" ht="11.25">
      <c r="B75" s="2" t="s">
        <v>13</v>
      </c>
      <c r="C75" s="11">
        <f>(C16/G16)-1</f>
        <v>-0.022417956272340223</v>
      </c>
      <c r="D75" s="11">
        <f>(D16/448599)-1</f>
        <v>0.3232664361712798</v>
      </c>
      <c r="E75" s="11">
        <f>(E16/570210)-1</f>
        <v>0.09579277809929665</v>
      </c>
      <c r="F75" s="11">
        <f>(F16/522399)-1</f>
        <v>0.16540613592292486</v>
      </c>
      <c r="G75" s="11">
        <f>(G16/H16)-1</f>
        <v>0.16199936733620457</v>
      </c>
      <c r="H75" s="11">
        <f>(H16/501215)-1</f>
        <v>0.06590784393922777</v>
      </c>
    </row>
    <row r="76" spans="2:8" s="2" customFormat="1" ht="11.25">
      <c r="B76" s="2" t="s">
        <v>14</v>
      </c>
      <c r="C76" s="11">
        <f>(C20/G20)-1</f>
        <v>-0.652966521442242</v>
      </c>
      <c r="D76" s="11">
        <f>(D20/520093)-1</f>
        <v>-0.5483980749596706</v>
      </c>
      <c r="E76" s="11">
        <f>(E20/413189)-1</f>
        <v>0.01375641655513582</v>
      </c>
      <c r="F76" s="11">
        <f>(F20/452607)-1</f>
        <v>-0.0650520208481088</v>
      </c>
      <c r="G76" s="11">
        <f>(G20/H20)-1</f>
        <v>-0.00936547256097564</v>
      </c>
      <c r="H76" s="11">
        <f>(H20/282354)-1</f>
        <v>0.4869277573542432</v>
      </c>
    </row>
    <row r="77" spans="1:8" s="2" customFormat="1" ht="11.25">
      <c r="A77" s="2" t="s">
        <v>66</v>
      </c>
      <c r="C77" s="11">
        <f>(C23/G23)-1</f>
        <v>3.8547268408551068</v>
      </c>
      <c r="D77" s="11">
        <f>(D23/21659)-1</f>
        <v>0.07848931160256711</v>
      </c>
      <c r="E77" s="11">
        <f>(E23/21451)-1</f>
        <v>-0.014591394340590202</v>
      </c>
      <c r="F77" s="11">
        <f>(F23/20449)-1</f>
        <v>0.023913149787275767</v>
      </c>
      <c r="G77" s="11">
        <f>(G23/H23)-1</f>
        <v>-0.029640897985525272</v>
      </c>
      <c r="H77" s="11">
        <f>(H23/23081)-1</f>
        <v>-0.0601360426324683</v>
      </c>
    </row>
    <row r="78" spans="1:8" s="2" customFormat="1" ht="11.25">
      <c r="A78" s="3" t="s">
        <v>67</v>
      </c>
      <c r="B78" s="3"/>
      <c r="C78" s="13">
        <f>(C38/G38)-1</f>
        <v>-1.0674994962724158</v>
      </c>
      <c r="D78" s="13">
        <f>(D38/11322)-1</f>
        <v>-0.7647942059706766</v>
      </c>
      <c r="E78" s="13">
        <f>(E38/7329)-1</f>
        <v>-0.48587801882930826</v>
      </c>
      <c r="F78" s="13">
        <f>(F38/3036)-1</f>
        <v>-0.29578392621870886</v>
      </c>
      <c r="G78" s="13">
        <f>(G38/H38)-1</f>
        <v>-0.002345215759849917</v>
      </c>
      <c r="H78" s="13">
        <f>(H38/10195)-1</f>
        <v>0.4638548307994115</v>
      </c>
    </row>
    <row r="79" s="2" customFormat="1" ht="11.25"/>
    <row r="80" s="2" customFormat="1" ht="11.25">
      <c r="A80" s="2" t="s">
        <v>68</v>
      </c>
    </row>
    <row r="81" s="2" customFormat="1" ht="11.25">
      <c r="A81" s="2" t="s">
        <v>69</v>
      </c>
    </row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  <row r="214" s="2" customFormat="1" ht="11.25"/>
    <row r="215" s="2" customFormat="1" ht="11.25"/>
    <row r="216" s="2" customFormat="1" ht="11.25"/>
    <row r="217" s="2" customFormat="1" ht="11.25"/>
    <row r="218" s="2" customFormat="1" ht="11.25"/>
    <row r="219" s="2" customFormat="1" ht="11.25"/>
    <row r="220" s="2" customFormat="1" ht="11.25"/>
    <row r="221" s="2" customFormat="1" ht="11.25"/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</sheetData>
  <sheetProtection password="CD66" sheet="1" objects="1" scenarios="1"/>
  <printOptions horizontalCentered="1"/>
  <pageMargins left="0.75" right="0.75" top="0.5905511811023623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2002-04-24T20:35:11Z</cp:lastPrinted>
  <dcterms:created xsi:type="dcterms:W3CDTF">2002-03-08T14:01:03Z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