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Atlántico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<sst xmlns="http://schemas.openxmlformats.org/spreadsheetml/2006/main" count="80" uniqueCount="68">
  <si>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18-27    BANCO ATLANTICO, S.A.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</si>
  <si>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</si>
  <si>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</si>
  <si>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</si>
  <si>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</si>
  <si>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</si>
  <si>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</si>
  <si>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</si>
  <si>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</si>
  <si>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</si>
  <si>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</si>
  <si>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</si>
  <si>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</si>
  <si>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</si>
  <si>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</si>
  <si>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</si>
  <si>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</si>
  <si>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</si>
  <si>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</si>
  <si>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</si>
  <si>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</si>
  <si>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</si>
  <si>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</si>
  <si>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</si>
  <si>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</si>
  <si>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</si>
  <si>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</si>
  <si>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</si>
  <si>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</si>
  <si>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</si>
  <si>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</si>
  <si>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</si>
  <si>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</si>
  <si>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</si>
  <si>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</si>
  <si>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</si>
  <si>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</si>
  <si>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</si>
  <si>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</si>
  <si>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</si>
  <si>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</si>
  <si>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</t>
  </si>
  <si>
    <t>Patrimonio /Activos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</si>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</sst>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  <numFmt numFmtId="187" formatCode="_ * #,##0.000_ ;_ * \-#,##0.000_ ;_ * &quot;-&quot;??_ ;_ @_ "/>
    <numFmt numFmtId="188" formatCode="_ * #,##0.0000_ ;_ * \-#,##0.0000_ ;_ * &quot;-&quot;??_ ;_ @_ 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8" sqref="E8"/>
    </sheetView>
  </sheetViews>
  <sheetFormatPr defaultColWidth="11.421875" defaultRowHeight="12.75"/>
  <cols>
    <col min="1" max="1" width="3.28125" style="1" customWidth="1"/>
    <col min="2" max="2" width="33.7109375" style="1" customWidth="1"/>
    <col min="3" max="3" width="11.57421875" style="1" customWidth="1"/>
    <col min="4" max="5" width="8.421875" style="1" customWidth="1"/>
    <col min="6" max="6" width="9.00390625" style="1" customWidth="1"/>
    <col min="7" max="7" width="11.57421875" style="1" customWidth="1"/>
    <col min="8" max="8" width="11.7109375" style="1" customWidth="1"/>
    <col min="9" max="16384" width="11.421875" style="1" customWidth="1"/>
  </cols>
  <sheetData>
    <row r="1" spans="2:8" s="2" customFormat="1" ht="11.25">
      <c r="B1" s="14"/>
      <c r="C1" s="14"/>
      <c r="D1" s="14"/>
      <c r="E1" s="14"/>
      <c r="F1" s="14"/>
      <c r="G1" s="14"/>
      <c r="H1" s="14"/>
    </row>
    <row r="2" spans="2:8" s="2" customFormat="1" ht="11.25">
      <c r="B2" s="14"/>
      <c r="C2" s="14"/>
      <c r="D2" s="14"/>
      <c r="E2" s="14"/>
      <c r="F2" s="14" t="s">
        <v>0</v>
      </c>
      <c r="G2" s="14"/>
      <c r="H2" s="14"/>
    </row>
    <row r="3" spans="2:8" s="2" customFormat="1" ht="11.25">
      <c r="B3" s="15"/>
      <c r="C3" s="15"/>
      <c r="D3" s="15"/>
      <c r="E3" s="15"/>
      <c r="F3" s="14" t="s">
        <v>1</v>
      </c>
      <c r="G3" s="15"/>
      <c r="H3" s="15"/>
    </row>
    <row r="4" spans="1:8" s="2" customFormat="1" ht="11.25">
      <c r="A4" s="15"/>
      <c r="B4" s="15"/>
      <c r="C4" s="15"/>
      <c r="D4" s="15"/>
      <c r="E4" s="15"/>
      <c r="F4" s="15" t="s">
        <v>2</v>
      </c>
      <c r="G4" s="15"/>
      <c r="H4" s="15"/>
    </row>
    <row r="5" spans="1:8" s="2" customFormat="1" ht="11.25">
      <c r="A5" s="15"/>
      <c r="B5" s="15"/>
      <c r="C5" s="15"/>
      <c r="D5" s="15"/>
      <c r="E5" s="15"/>
      <c r="F5" s="15"/>
      <c r="G5" s="15"/>
      <c r="H5" s="15"/>
    </row>
    <row r="6" spans="1:8" s="2" customFormat="1" ht="11.25">
      <c r="A6" s="16"/>
      <c r="B6" s="16"/>
      <c r="C6" s="16"/>
      <c r="D6" s="16"/>
      <c r="E6" s="16"/>
      <c r="F6" s="16"/>
      <c r="G6" s="16"/>
      <c r="H6" s="16"/>
    </row>
    <row r="7" spans="1:8" s="2" customFormat="1" ht="11.25">
      <c r="A7" s="4"/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</row>
    <row r="8" spans="1:8" s="2" customFormat="1" ht="11.25">
      <c r="A8" s="5" t="s">
        <v>9</v>
      </c>
      <c r="B8" s="5"/>
      <c r="C8" s="6"/>
      <c r="D8" s="6"/>
      <c r="E8" s="6"/>
      <c r="F8" s="6"/>
      <c r="G8" s="6"/>
      <c r="H8" s="6"/>
    </row>
    <row r="9" spans="1:8" s="2" customFormat="1" ht="11.25">
      <c r="A9" s="2" t="s">
        <v>10</v>
      </c>
      <c r="C9" s="7">
        <v>369193</v>
      </c>
      <c r="D9" s="7">
        <v>382503</v>
      </c>
      <c r="E9" s="7">
        <v>379725</v>
      </c>
      <c r="F9" s="7">
        <v>382661</v>
      </c>
      <c r="G9" s="7">
        <v>316721</v>
      </c>
      <c r="H9" s="7">
        <v>321138</v>
      </c>
    </row>
    <row r="10" spans="1:8" s="2" customFormat="1" ht="11.25">
      <c r="A10" s="2" t="s">
        <v>11</v>
      </c>
      <c r="C10" s="7">
        <v>83689</v>
      </c>
      <c r="D10" s="7">
        <v>94735</v>
      </c>
      <c r="E10" s="7">
        <v>112100</v>
      </c>
      <c r="F10" s="7">
        <v>120329</v>
      </c>
      <c r="G10" s="7">
        <v>62724</v>
      </c>
      <c r="H10" s="7">
        <v>50299</v>
      </c>
    </row>
    <row r="11" spans="1:8" s="2" customFormat="1" ht="11.25">
      <c r="A11" s="2" t="s">
        <v>12</v>
      </c>
      <c r="C11" s="7">
        <f aca="true" t="shared" si="0" ref="C11:H11">C12+C13</f>
        <v>270243</v>
      </c>
      <c r="D11" s="7">
        <f t="shared" si="0"/>
        <v>269893</v>
      </c>
      <c r="E11" s="7">
        <f t="shared" si="0"/>
        <v>254030</v>
      </c>
      <c r="F11" s="7">
        <f t="shared" si="0"/>
        <v>247410</v>
      </c>
      <c r="G11" s="7">
        <f t="shared" si="0"/>
        <v>241158</v>
      </c>
      <c r="H11" s="7">
        <f t="shared" si="0"/>
        <v>256375</v>
      </c>
    </row>
    <row r="12" spans="2:8" s="2" customFormat="1" ht="11.25">
      <c r="B12" s="2" t="s">
        <v>13</v>
      </c>
      <c r="C12" s="7">
        <v>256230</v>
      </c>
      <c r="D12" s="7">
        <v>256769</v>
      </c>
      <c r="E12" s="7">
        <v>241857</v>
      </c>
      <c r="F12" s="7">
        <v>234150</v>
      </c>
      <c r="G12" s="7">
        <v>223868</v>
      </c>
      <c r="H12" s="7">
        <v>200252</v>
      </c>
    </row>
    <row r="13" spans="2:8" s="2" customFormat="1" ht="11.25">
      <c r="B13" s="2" t="s">
        <v>14</v>
      </c>
      <c r="C13" s="7">
        <v>14013</v>
      </c>
      <c r="D13" s="7">
        <v>13124</v>
      </c>
      <c r="E13" s="7">
        <v>12173</v>
      </c>
      <c r="F13" s="7">
        <v>13260</v>
      </c>
      <c r="G13" s="7">
        <v>17290</v>
      </c>
      <c r="H13" s="7">
        <v>56123</v>
      </c>
    </row>
    <row r="14" spans="1:8" s="2" customFormat="1" ht="11.25">
      <c r="A14" s="2" t="s">
        <v>15</v>
      </c>
      <c r="C14" s="7">
        <v>5238</v>
      </c>
      <c r="D14" s="7">
        <v>5316</v>
      </c>
      <c r="E14" s="7">
        <v>4895</v>
      </c>
      <c r="F14" s="7">
        <v>5371</v>
      </c>
      <c r="G14" s="7">
        <v>4368</v>
      </c>
      <c r="H14" s="7">
        <v>7388</v>
      </c>
    </row>
    <row r="15" spans="1:8" s="2" customFormat="1" ht="11.25">
      <c r="A15" s="2" t="s">
        <v>16</v>
      </c>
      <c r="C15" s="7">
        <f aca="true" t="shared" si="1" ref="C15:H15">C16+C20</f>
        <v>309926</v>
      </c>
      <c r="D15" s="7">
        <f t="shared" si="1"/>
        <v>321877</v>
      </c>
      <c r="E15" s="7">
        <f t="shared" si="1"/>
        <v>324867</v>
      </c>
      <c r="F15" s="7">
        <f t="shared" si="1"/>
        <v>326239</v>
      </c>
      <c r="G15" s="7">
        <f t="shared" si="1"/>
        <v>259410</v>
      </c>
      <c r="H15" s="7">
        <f t="shared" si="1"/>
        <v>266715</v>
      </c>
    </row>
    <row r="16" spans="2:8" s="2" customFormat="1" ht="11.25">
      <c r="B16" s="2" t="s">
        <v>13</v>
      </c>
      <c r="C16" s="7">
        <f aca="true" t="shared" si="2" ref="C16:H16">SUM(C17:C19)</f>
        <v>140983</v>
      </c>
      <c r="D16" s="7">
        <f t="shared" si="2"/>
        <v>138449</v>
      </c>
      <c r="E16" s="7">
        <f t="shared" si="2"/>
        <v>138524</v>
      </c>
      <c r="F16" s="7">
        <f t="shared" si="2"/>
        <v>138091</v>
      </c>
      <c r="G16" s="7">
        <f t="shared" si="2"/>
        <v>135038</v>
      </c>
      <c r="H16" s="7">
        <f t="shared" si="2"/>
        <v>114670</v>
      </c>
    </row>
    <row r="17" spans="2:8" s="2" customFormat="1" ht="11.25">
      <c r="B17" s="2" t="s">
        <v>17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2:8" s="2" customFormat="1" ht="11.25">
      <c r="B18" s="2" t="s">
        <v>18</v>
      </c>
      <c r="C18" s="7">
        <v>136233</v>
      </c>
      <c r="D18" s="7">
        <v>135750</v>
      </c>
      <c r="E18" s="7">
        <v>136763</v>
      </c>
      <c r="F18" s="7">
        <v>135870</v>
      </c>
      <c r="G18" s="7">
        <v>129072</v>
      </c>
      <c r="H18" s="7">
        <v>112880</v>
      </c>
    </row>
    <row r="19" spans="2:8" s="2" customFormat="1" ht="11.25">
      <c r="B19" s="2" t="s">
        <v>19</v>
      </c>
      <c r="C19" s="7">
        <v>4750</v>
      </c>
      <c r="D19" s="7">
        <v>2699</v>
      </c>
      <c r="E19" s="7">
        <v>1761</v>
      </c>
      <c r="F19" s="7">
        <v>2221</v>
      </c>
      <c r="G19" s="7">
        <v>5966</v>
      </c>
      <c r="H19" s="7">
        <v>1790</v>
      </c>
    </row>
    <row r="20" spans="2:8" s="2" customFormat="1" ht="11.25">
      <c r="B20" s="2" t="s">
        <v>14</v>
      </c>
      <c r="C20" s="7">
        <f aca="true" t="shared" si="3" ref="C20:H20">SUM(C21:C22)</f>
        <v>168943</v>
      </c>
      <c r="D20" s="7">
        <f t="shared" si="3"/>
        <v>183428</v>
      </c>
      <c r="E20" s="7">
        <f t="shared" si="3"/>
        <v>186343</v>
      </c>
      <c r="F20" s="7">
        <f t="shared" si="3"/>
        <v>188148</v>
      </c>
      <c r="G20" s="7">
        <f t="shared" si="3"/>
        <v>124372</v>
      </c>
      <c r="H20" s="7">
        <f t="shared" si="3"/>
        <v>152045</v>
      </c>
    </row>
    <row r="21" spans="2:8" s="2" customFormat="1" ht="11.25">
      <c r="B21" s="2" t="s">
        <v>18</v>
      </c>
      <c r="C21" s="7">
        <v>65555</v>
      </c>
      <c r="D21" s="7">
        <v>65107</v>
      </c>
      <c r="E21" s="7">
        <v>75012</v>
      </c>
      <c r="F21" s="7">
        <v>66690</v>
      </c>
      <c r="G21" s="7">
        <v>64223</v>
      </c>
      <c r="H21" s="7">
        <v>54218</v>
      </c>
    </row>
    <row r="22" spans="2:8" s="2" customFormat="1" ht="11.25">
      <c r="B22" s="2" t="s">
        <v>19</v>
      </c>
      <c r="C22" s="7">
        <v>103388</v>
      </c>
      <c r="D22" s="7">
        <v>118321</v>
      </c>
      <c r="E22" s="7">
        <v>111331</v>
      </c>
      <c r="F22" s="7">
        <v>121458</v>
      </c>
      <c r="G22" s="7">
        <v>60149</v>
      </c>
      <c r="H22" s="7">
        <v>97827</v>
      </c>
    </row>
    <row r="23" spans="1:8" s="2" customFormat="1" ht="11.25">
      <c r="A23" s="3" t="s">
        <v>20</v>
      </c>
      <c r="B23" s="3"/>
      <c r="C23" s="8">
        <v>36028</v>
      </c>
      <c r="D23" s="8">
        <v>35389</v>
      </c>
      <c r="E23" s="8">
        <v>34330</v>
      </c>
      <c r="F23" s="8">
        <v>33395</v>
      </c>
      <c r="G23" s="8">
        <v>34901</v>
      </c>
      <c r="H23" s="8">
        <v>32732</v>
      </c>
    </row>
    <row r="24" spans="1:8" s="2" customFormat="1" ht="11.25">
      <c r="A24" s="5" t="s">
        <v>21</v>
      </c>
      <c r="C24" s="7"/>
      <c r="D24" s="7"/>
      <c r="E24" s="7"/>
      <c r="F24" s="7"/>
      <c r="G24" s="7"/>
      <c r="H24" s="7"/>
    </row>
    <row r="25" spans="1:8" s="2" customFormat="1" ht="11.25">
      <c r="A25" s="2" t="s">
        <v>10</v>
      </c>
      <c r="C25" s="7">
        <f>(369193+316721)/2</f>
        <v>342957</v>
      </c>
      <c r="D25" s="7">
        <f>(D9+378421)/2</f>
        <v>380462</v>
      </c>
      <c r="E25" s="7">
        <f>(E9+398758)/2</f>
        <v>389241.5</v>
      </c>
      <c r="F25" s="7">
        <f>(F9+391577)/2</f>
        <v>387119</v>
      </c>
      <c r="G25" s="7">
        <f>(G9+H9)/2</f>
        <v>318929.5</v>
      </c>
      <c r="H25" s="7">
        <f>(H9+265218)/2</f>
        <v>293178</v>
      </c>
    </row>
    <row r="26" spans="1:8" s="2" customFormat="1" ht="11.25">
      <c r="A26" s="2" t="s">
        <v>22</v>
      </c>
      <c r="C26" s="7">
        <f aca="true" t="shared" si="4" ref="C26:H26">C27+C28</f>
        <v>260503.5</v>
      </c>
      <c r="D26" s="7">
        <f t="shared" si="4"/>
        <v>277350</v>
      </c>
      <c r="E26" s="7">
        <f t="shared" si="4"/>
        <v>275298</v>
      </c>
      <c r="F26" s="7">
        <f t="shared" si="4"/>
        <v>267051.5</v>
      </c>
      <c r="G26" s="7">
        <f t="shared" si="4"/>
        <v>254644.5</v>
      </c>
      <c r="H26" s="7">
        <f t="shared" si="4"/>
        <v>250161</v>
      </c>
    </row>
    <row r="27" spans="2:8" s="2" customFormat="1" ht="11.25">
      <c r="B27" s="2" t="s">
        <v>12</v>
      </c>
      <c r="C27" s="7">
        <f>(C11+G11)/2</f>
        <v>255700.5</v>
      </c>
      <c r="D27" s="7">
        <f>(D11+273625)/2</f>
        <v>271759</v>
      </c>
      <c r="E27" s="7">
        <f>(E11+284303)/2</f>
        <v>269166.5</v>
      </c>
      <c r="F27" s="7">
        <f>(F11+273947)/2</f>
        <v>260678.5</v>
      </c>
      <c r="G27" s="7">
        <f>(G11+H11)/2</f>
        <v>248766.5</v>
      </c>
      <c r="H27" s="7">
        <f>(H11+217699)/2</f>
        <v>237037</v>
      </c>
    </row>
    <row r="28" spans="2:8" s="2" customFormat="1" ht="11.25">
      <c r="B28" s="2" t="s">
        <v>15</v>
      </c>
      <c r="C28" s="7">
        <f>(C14+G14)/2</f>
        <v>4803</v>
      </c>
      <c r="D28" s="7">
        <f>(D14+5866)/2</f>
        <v>5591</v>
      </c>
      <c r="E28" s="7">
        <f>(E14+7368)/2</f>
        <v>6131.5</v>
      </c>
      <c r="F28" s="7">
        <f>(F14+7375)/2</f>
        <v>6373</v>
      </c>
      <c r="G28" s="7">
        <f>(G14+H14)/2</f>
        <v>5878</v>
      </c>
      <c r="H28" s="7">
        <f>(H14+18860)/2</f>
        <v>13124</v>
      </c>
    </row>
    <row r="29" spans="1:8" s="2" customFormat="1" ht="11.25">
      <c r="A29" s="3" t="s">
        <v>20</v>
      </c>
      <c r="B29" s="3"/>
      <c r="C29" s="8">
        <f>(C23+G23)/2</f>
        <v>35464.5</v>
      </c>
      <c r="D29" s="8">
        <f>(D23+33475)/2</f>
        <v>34432</v>
      </c>
      <c r="E29" s="8">
        <f>(E23+32136)/2</f>
        <v>33233</v>
      </c>
      <c r="F29" s="8">
        <f>(F23+30899)/2</f>
        <v>32147</v>
      </c>
      <c r="G29" s="8">
        <f>(G23+H23)/2</f>
        <v>33816.5</v>
      </c>
      <c r="H29" s="8">
        <f>(H23+31420)/2</f>
        <v>32076</v>
      </c>
    </row>
    <row r="30" s="2" customFormat="1" ht="11.25">
      <c r="A30" s="5" t="s">
        <v>23</v>
      </c>
    </row>
    <row r="31" spans="1:8" s="2" customFormat="1" ht="11.25">
      <c r="A31" s="2" t="s">
        <v>24</v>
      </c>
      <c r="C31" s="7">
        <f>8676+D31</f>
        <v>31314</v>
      </c>
      <c r="D31" s="7">
        <f>8019+E31</f>
        <v>22638</v>
      </c>
      <c r="E31" s="7">
        <f>7611+F31</f>
        <v>14619</v>
      </c>
      <c r="F31" s="7">
        <v>7008</v>
      </c>
      <c r="G31" s="7">
        <v>27483</v>
      </c>
      <c r="H31" s="7">
        <v>26765</v>
      </c>
    </row>
    <row r="32" spans="1:8" s="2" customFormat="1" ht="11.25">
      <c r="A32" s="2" t="s">
        <v>25</v>
      </c>
      <c r="C32" s="7">
        <f>5627+D32</f>
        <v>20035</v>
      </c>
      <c r="D32" s="7">
        <f>5093+E32</f>
        <v>14408</v>
      </c>
      <c r="E32" s="7">
        <f>4861+F32</f>
        <v>9315</v>
      </c>
      <c r="F32" s="7">
        <v>4454</v>
      </c>
      <c r="G32" s="7">
        <v>17174</v>
      </c>
      <c r="H32" s="7">
        <v>16448</v>
      </c>
    </row>
    <row r="33" spans="1:8" s="2" customFormat="1" ht="11.25">
      <c r="A33" s="2" t="s">
        <v>26</v>
      </c>
      <c r="C33" s="7">
        <f aca="true" t="shared" si="5" ref="C33:H33">C31-C32</f>
        <v>11279</v>
      </c>
      <c r="D33" s="7">
        <f t="shared" si="5"/>
        <v>8230</v>
      </c>
      <c r="E33" s="7">
        <f t="shared" si="5"/>
        <v>5304</v>
      </c>
      <c r="F33" s="7">
        <f t="shared" si="5"/>
        <v>2554</v>
      </c>
      <c r="G33" s="7">
        <f t="shared" si="5"/>
        <v>10309</v>
      </c>
      <c r="H33" s="7">
        <f t="shared" si="5"/>
        <v>10317</v>
      </c>
    </row>
    <row r="34" spans="1:8" s="2" customFormat="1" ht="11.25">
      <c r="A34" s="2" t="s">
        <v>27</v>
      </c>
      <c r="C34" s="7">
        <f>1595+D34</f>
        <v>4746</v>
      </c>
      <c r="D34" s="7">
        <f>1090+E34</f>
        <v>3151</v>
      </c>
      <c r="E34" s="7">
        <f>949+F34</f>
        <v>2061</v>
      </c>
      <c r="F34" s="7">
        <v>1112</v>
      </c>
      <c r="G34" s="7">
        <v>3652</v>
      </c>
      <c r="H34" s="7">
        <v>3603</v>
      </c>
    </row>
    <row r="35" spans="1:8" s="2" customFormat="1" ht="11.25">
      <c r="A35" s="2" t="s">
        <v>28</v>
      </c>
      <c r="C35" s="7">
        <f aca="true" t="shared" si="6" ref="C35:H35">C33+C34</f>
        <v>16025</v>
      </c>
      <c r="D35" s="7">
        <f t="shared" si="6"/>
        <v>11381</v>
      </c>
      <c r="E35" s="7">
        <f t="shared" si="6"/>
        <v>7365</v>
      </c>
      <c r="F35" s="7">
        <f t="shared" si="6"/>
        <v>3666</v>
      </c>
      <c r="G35" s="7">
        <f t="shared" si="6"/>
        <v>13961</v>
      </c>
      <c r="H35" s="7">
        <f t="shared" si="6"/>
        <v>13920</v>
      </c>
    </row>
    <row r="36" spans="1:8" s="2" customFormat="1" ht="11.25">
      <c r="A36" s="2" t="s">
        <v>29</v>
      </c>
      <c r="C36" s="7">
        <f>2398+D36</f>
        <v>9033</v>
      </c>
      <c r="D36" s="7">
        <f>2247+E36</f>
        <v>6635</v>
      </c>
      <c r="E36" s="7">
        <f>2150+F36</f>
        <v>4388</v>
      </c>
      <c r="F36" s="7">
        <v>2238</v>
      </c>
      <c r="G36" s="7">
        <v>7013</v>
      </c>
      <c r="H36" s="7">
        <v>6796</v>
      </c>
    </row>
    <row r="37" spans="1:8" s="2" customFormat="1" ht="11.25">
      <c r="A37" s="2" t="s">
        <v>30</v>
      </c>
      <c r="C37" s="7">
        <f aca="true" t="shared" si="7" ref="C37:H37">C35-C36</f>
        <v>6992</v>
      </c>
      <c r="D37" s="7">
        <f t="shared" si="7"/>
        <v>4746</v>
      </c>
      <c r="E37" s="7">
        <f t="shared" si="7"/>
        <v>2977</v>
      </c>
      <c r="F37" s="7">
        <f t="shared" si="7"/>
        <v>1428</v>
      </c>
      <c r="G37" s="7">
        <f t="shared" si="7"/>
        <v>6948</v>
      </c>
      <c r="H37" s="7">
        <f t="shared" si="7"/>
        <v>7124</v>
      </c>
    </row>
    <row r="38" spans="1:8" s="2" customFormat="1" ht="11.25">
      <c r="A38" s="3" t="s">
        <v>31</v>
      </c>
      <c r="B38" s="3"/>
      <c r="C38" s="8">
        <f>641+D38</f>
        <v>3323</v>
      </c>
      <c r="D38" s="8">
        <f>1057+E38</f>
        <v>2682</v>
      </c>
      <c r="E38" s="8">
        <f>931+F38</f>
        <v>1625</v>
      </c>
      <c r="F38" s="8">
        <v>694</v>
      </c>
      <c r="G38" s="8">
        <v>4773</v>
      </c>
      <c r="H38" s="8">
        <v>4313</v>
      </c>
    </row>
    <row r="39" spans="1:8" s="2" customFormat="1" ht="11.25">
      <c r="A39" s="5" t="s">
        <v>32</v>
      </c>
      <c r="C39" s="7"/>
      <c r="D39" s="7"/>
      <c r="E39" s="7"/>
      <c r="F39" s="7"/>
      <c r="G39" s="7"/>
      <c r="H39" s="7"/>
    </row>
    <row r="40" spans="1:8" s="2" customFormat="1" ht="11.25">
      <c r="A40" s="2" t="s">
        <v>33</v>
      </c>
      <c r="C40" s="7">
        <v>8745</v>
      </c>
      <c r="D40" s="7">
        <v>8499</v>
      </c>
      <c r="E40" s="7">
        <v>7711</v>
      </c>
      <c r="F40" s="7">
        <v>8242</v>
      </c>
      <c r="G40" s="7">
        <v>6604</v>
      </c>
      <c r="H40" s="7">
        <v>3623</v>
      </c>
    </row>
    <row r="41" spans="1:8" s="2" customFormat="1" ht="11.25">
      <c r="A41" s="2" t="s">
        <v>34</v>
      </c>
      <c r="C41" s="7">
        <v>10351</v>
      </c>
      <c r="D41" s="7">
        <v>7955</v>
      </c>
      <c r="E41" s="7">
        <v>6106</v>
      </c>
      <c r="F41" s="7">
        <v>5574</v>
      </c>
      <c r="G41" s="7">
        <v>5812</v>
      </c>
      <c r="H41" s="7">
        <v>7610</v>
      </c>
    </row>
    <row r="42" spans="1:8" s="2" customFormat="1" ht="11.25">
      <c r="A42" s="2" t="s">
        <v>35</v>
      </c>
      <c r="C42" s="9">
        <f aca="true" t="shared" si="8" ref="C42:H42">C40/C11</f>
        <v>0.03235976510029862</v>
      </c>
      <c r="D42" s="9">
        <f t="shared" si="8"/>
        <v>0.03149025725009541</v>
      </c>
      <c r="E42" s="9">
        <f t="shared" si="8"/>
        <v>0.030354682517812856</v>
      </c>
      <c r="F42" s="9">
        <f t="shared" si="8"/>
        <v>0.03331312396426984</v>
      </c>
      <c r="G42" s="9">
        <f t="shared" si="8"/>
        <v>0.027384536279119912</v>
      </c>
      <c r="H42" s="9">
        <f t="shared" si="8"/>
        <v>0.014131643100926378</v>
      </c>
    </row>
    <row r="43" spans="1:8" s="2" customFormat="1" ht="11.25">
      <c r="A43" s="2" t="s">
        <v>36</v>
      </c>
      <c r="C43" s="9">
        <f aca="true" t="shared" si="9" ref="C43:H43">(C41)/C11</f>
        <v>0.03830256472878114</v>
      </c>
      <c r="D43" s="9">
        <f t="shared" si="9"/>
        <v>0.029474643655078122</v>
      </c>
      <c r="E43" s="9">
        <f t="shared" si="9"/>
        <v>0.024036531118371847</v>
      </c>
      <c r="F43" s="9">
        <f t="shared" si="9"/>
        <v>0.02252940463198739</v>
      </c>
      <c r="G43" s="9">
        <f t="shared" si="9"/>
        <v>0.024100382321963196</v>
      </c>
      <c r="H43" s="9">
        <f t="shared" si="9"/>
        <v>0.02968308142369576</v>
      </c>
    </row>
    <row r="44" spans="1:8" s="2" customFormat="1" ht="11.25">
      <c r="A44" s="10" t="s">
        <v>37</v>
      </c>
      <c r="C44" s="9">
        <f aca="true" t="shared" si="10" ref="C44:H44">(C40+C41)/C11</f>
        <v>0.07066232982907976</v>
      </c>
      <c r="D44" s="9">
        <f t="shared" si="10"/>
        <v>0.06096490090517353</v>
      </c>
      <c r="E44" s="9">
        <f t="shared" si="10"/>
        <v>0.0543912136361847</v>
      </c>
      <c r="F44" s="9">
        <f t="shared" si="10"/>
        <v>0.05584252859625723</v>
      </c>
      <c r="G44" s="9">
        <f t="shared" si="10"/>
        <v>0.051484918601083104</v>
      </c>
      <c r="H44" s="9">
        <f t="shared" si="10"/>
        <v>0.04381472452462214</v>
      </c>
    </row>
    <row r="45" spans="1:8" s="2" customFormat="1" ht="11.25">
      <c r="A45" s="2" t="s">
        <v>38</v>
      </c>
      <c r="C45" s="9">
        <v>0.0145</v>
      </c>
      <c r="D45" s="9">
        <v>0.0138</v>
      </c>
      <c r="E45" s="9">
        <v>0.0119</v>
      </c>
      <c r="F45" s="9">
        <v>0.0119</v>
      </c>
      <c r="G45" s="9">
        <v>0.0099</v>
      </c>
      <c r="H45" s="9">
        <f>(1252/H11)</f>
        <v>0.004883471477328132</v>
      </c>
    </row>
    <row r="46" spans="1:8" s="2" customFormat="1" ht="11.25">
      <c r="A46" s="3" t="s">
        <v>39</v>
      </c>
      <c r="B46" s="3"/>
      <c r="C46" s="11">
        <v>0.2055</v>
      </c>
      <c r="D46" s="11">
        <v>0.2264</v>
      </c>
      <c r="E46" s="11">
        <v>0.2182</v>
      </c>
      <c r="F46" s="11">
        <v>0.214</v>
      </c>
      <c r="G46" s="11">
        <v>0.1915</v>
      </c>
      <c r="H46" s="11">
        <f>1252/(H40+H41)</f>
        <v>0.1114573132733909</v>
      </c>
    </row>
    <row r="47" s="2" customFormat="1" ht="11.25">
      <c r="A47" s="5" t="s">
        <v>40</v>
      </c>
    </row>
    <row r="48" spans="1:8" s="2" customFormat="1" ht="11.25">
      <c r="A48" s="2" t="s">
        <v>41</v>
      </c>
      <c r="C48" s="9">
        <f aca="true" t="shared" si="11" ref="C48:H48">C23/(C11+C14)</f>
        <v>0.13078215920517205</v>
      </c>
      <c r="D48" s="9">
        <f t="shared" si="11"/>
        <v>0.128589544673321</v>
      </c>
      <c r="E48" s="9">
        <f t="shared" si="11"/>
        <v>0.13258665636767403</v>
      </c>
      <c r="F48" s="9">
        <f t="shared" si="11"/>
        <v>0.13211040386737927</v>
      </c>
      <c r="G48" s="9">
        <f t="shared" si="11"/>
        <v>0.1421478784324267</v>
      </c>
      <c r="H48" s="9">
        <f t="shared" si="11"/>
        <v>0.12409625307567779</v>
      </c>
    </row>
    <row r="49" spans="1:8" s="2" customFormat="1" ht="11.25">
      <c r="A49" s="3" t="s">
        <v>42</v>
      </c>
      <c r="B49" s="3"/>
      <c r="C49" s="11">
        <f aca="true" t="shared" si="12" ref="C49:H49">C23/C9</f>
        <v>0.09758581554904887</v>
      </c>
      <c r="D49" s="11">
        <f t="shared" si="12"/>
        <v>0.0925195357944905</v>
      </c>
      <c r="E49" s="11">
        <f t="shared" si="12"/>
        <v>0.09040753176640991</v>
      </c>
      <c r="F49" s="11">
        <f t="shared" si="12"/>
        <v>0.0872704560956042</v>
      </c>
      <c r="G49" s="11">
        <f t="shared" si="12"/>
        <v>0.11019477710666485</v>
      </c>
      <c r="H49" s="11">
        <f t="shared" si="12"/>
        <v>0.10192502911520904</v>
      </c>
    </row>
    <row r="50" spans="1:8" s="2" customFormat="1" ht="11.25">
      <c r="A50" s="5" t="s">
        <v>43</v>
      </c>
      <c r="C50" s="12"/>
      <c r="D50" s="12"/>
      <c r="E50" s="12"/>
      <c r="F50" s="12"/>
      <c r="G50" s="12"/>
      <c r="H50" s="12"/>
    </row>
    <row r="51" spans="1:8" s="2" customFormat="1" ht="11.25">
      <c r="A51" s="2" t="s">
        <v>44</v>
      </c>
      <c r="C51" s="12">
        <f aca="true" t="shared" si="13" ref="C51:H51">C10/C15</f>
        <v>0.27002897465846687</v>
      </c>
      <c r="D51" s="12">
        <f t="shared" si="13"/>
        <v>0.29432050130950643</v>
      </c>
      <c r="E51" s="12">
        <f t="shared" si="13"/>
        <v>0.34506428784702664</v>
      </c>
      <c r="F51" s="12">
        <f t="shared" si="13"/>
        <v>0.3688369569548705</v>
      </c>
      <c r="G51" s="12">
        <f t="shared" si="13"/>
        <v>0.2417948421417833</v>
      </c>
      <c r="H51" s="12">
        <f t="shared" si="13"/>
        <v>0.18858706859381738</v>
      </c>
    </row>
    <row r="52" spans="1:8" s="2" customFormat="1" ht="11.25">
      <c r="A52" s="2" t="s">
        <v>45</v>
      </c>
      <c r="C52" s="12">
        <f aca="true" t="shared" si="14" ref="C52:H52">C10/C9</f>
        <v>0.22668089589997645</v>
      </c>
      <c r="D52" s="12">
        <f t="shared" si="14"/>
        <v>0.24767126009469206</v>
      </c>
      <c r="E52" s="12">
        <f t="shared" si="14"/>
        <v>0.2952136414510501</v>
      </c>
      <c r="F52" s="12">
        <f t="shared" si="14"/>
        <v>0.3144532628096409</v>
      </c>
      <c r="G52" s="12">
        <f t="shared" si="14"/>
        <v>0.19804180966844637</v>
      </c>
      <c r="H52" s="12">
        <f t="shared" si="14"/>
        <v>0.1566273689192808</v>
      </c>
    </row>
    <row r="53" spans="1:8" s="2" customFormat="1" ht="11.25">
      <c r="A53" s="3" t="s">
        <v>46</v>
      </c>
      <c r="B53" s="3"/>
      <c r="C53" s="13">
        <f aca="true" t="shared" si="15" ref="C53:H53">(C10+C14)/C15</f>
        <v>0.28692978323857954</v>
      </c>
      <c r="D53" s="13">
        <f t="shared" si="15"/>
        <v>0.3108361268434837</v>
      </c>
      <c r="E53" s="13">
        <f t="shared" si="15"/>
        <v>0.36013199247692135</v>
      </c>
      <c r="F53" s="13">
        <f t="shared" si="15"/>
        <v>0.38530034729140294</v>
      </c>
      <c r="G53" s="13">
        <f t="shared" si="15"/>
        <v>0.2586330519255233</v>
      </c>
      <c r="H53" s="13">
        <f t="shared" si="15"/>
        <v>0.21628704797255496</v>
      </c>
    </row>
    <row r="54" s="2" customFormat="1" ht="11.25">
      <c r="A54" s="5" t="s">
        <v>47</v>
      </c>
    </row>
    <row r="55" spans="1:8" s="2" customFormat="1" ht="11.25">
      <c r="A55" s="2" t="s">
        <v>48</v>
      </c>
      <c r="C55" s="9">
        <f>C38/C26</f>
        <v>0.012756066617147179</v>
      </c>
      <c r="D55" s="9">
        <f>(D38/0.75)/D26</f>
        <v>0.012893455922120064</v>
      </c>
      <c r="E55" s="9">
        <f>(E38/0.5)/E26</f>
        <v>0.01180538906929945</v>
      </c>
      <c r="F55" s="9">
        <f>((F38)/0.25)/F26</f>
        <v>0.010394998717475843</v>
      </c>
      <c r="G55" s="9">
        <f>G38/G26</f>
        <v>0.018743778090632233</v>
      </c>
      <c r="H55" s="9">
        <f>H38/H26</f>
        <v>0.017240896862420602</v>
      </c>
    </row>
    <row r="56" spans="1:8" s="2" customFormat="1" ht="11.25">
      <c r="A56" s="2" t="s">
        <v>49</v>
      </c>
      <c r="C56" s="9">
        <f>C38/C25</f>
        <v>0.009689261335969233</v>
      </c>
      <c r="D56" s="9">
        <f>(D38/0.75)/D25</f>
        <v>0.009399098990175103</v>
      </c>
      <c r="E56" s="9">
        <f>(E38/0.5)/E25</f>
        <v>0.008349572180766953</v>
      </c>
      <c r="F56" s="9">
        <f>((F38)/0.25)/F25</f>
        <v>0.007170921602917966</v>
      </c>
      <c r="G56" s="9">
        <f>G38/G25</f>
        <v>0.01496568990952546</v>
      </c>
      <c r="H56" s="9">
        <f>H38/H25</f>
        <v>0.014711199339650314</v>
      </c>
    </row>
    <row r="57" spans="1:8" s="2" customFormat="1" ht="11.25">
      <c r="A57" s="2" t="s">
        <v>50</v>
      </c>
      <c r="C57" s="9">
        <f>C38/C29</f>
        <v>0.09369933313595286</v>
      </c>
      <c r="D57" s="9">
        <f>(D38/0.75)/D29</f>
        <v>0.10385687732342007</v>
      </c>
      <c r="E57" s="9">
        <f>(E38/0.5)/E29</f>
        <v>0.09779436102669034</v>
      </c>
      <c r="F57" s="9">
        <f>((F38)/0.25)/F29</f>
        <v>0.0863533144616916</v>
      </c>
      <c r="G57" s="9">
        <f>G38/G29</f>
        <v>0.14114411603802876</v>
      </c>
      <c r="H57" s="9">
        <f>H38/H29</f>
        <v>0.1344619029804215</v>
      </c>
    </row>
    <row r="58" spans="1:8" s="2" customFormat="1" ht="11.25">
      <c r="A58" s="2" t="s">
        <v>51</v>
      </c>
      <c r="C58" s="9">
        <f>C31/C25</f>
        <v>0.09130590715454125</v>
      </c>
      <c r="D58" s="9">
        <f>(D31/0.75)/D25</f>
        <v>0.07933512413854735</v>
      </c>
      <c r="E58" s="9">
        <f>(E31/0.5)/E25</f>
        <v>0.07511532043731206</v>
      </c>
      <c r="F58" s="9">
        <f>((F31)/0.25)/F25</f>
        <v>0.07241184235338488</v>
      </c>
      <c r="G58" s="9">
        <f>G31/G25</f>
        <v>0.08617264944133421</v>
      </c>
      <c r="H58" s="9">
        <f>H31/H25</f>
        <v>0.09129266179590556</v>
      </c>
    </row>
    <row r="59" spans="1:8" s="2" customFormat="1" ht="11.25">
      <c r="A59" s="2" t="s">
        <v>52</v>
      </c>
      <c r="C59" s="9">
        <f>C32/C25</f>
        <v>0.05841840230699476</v>
      </c>
      <c r="D59" s="9">
        <f>(D32/0.75)/D25</f>
        <v>0.050492997110530534</v>
      </c>
      <c r="E59" s="9">
        <f>(E32/0.5)/E25</f>
        <v>0.04786231683928872</v>
      </c>
      <c r="F59" s="9">
        <f>((F32)/0.25)/F25</f>
        <v>0.046022024235441814</v>
      </c>
      <c r="G59" s="9">
        <f>G32/G25</f>
        <v>0.05384889136940923</v>
      </c>
      <c r="H59" s="9">
        <f>H32/H25</f>
        <v>0.05610243606273322</v>
      </c>
    </row>
    <row r="60" spans="1:8" s="2" customFormat="1" ht="11.25">
      <c r="A60" s="2" t="s">
        <v>53</v>
      </c>
      <c r="C60" s="9">
        <f>C33/C25</f>
        <v>0.03288750484754648</v>
      </c>
      <c r="D60" s="9">
        <f>(D33)/0.75/D25</f>
        <v>0.028842127028016817</v>
      </c>
      <c r="E60" s="9">
        <f>(E33/0.5)/E25</f>
        <v>0.027253003598023334</v>
      </c>
      <c r="F60" s="9">
        <f>((F33)/0.25)/F25</f>
        <v>0.02638981811794306</v>
      </c>
      <c r="G60" s="9">
        <f>G33/G25</f>
        <v>0.03232375807192499</v>
      </c>
      <c r="H60" s="9">
        <f>H33/H25</f>
        <v>0.03519022573317234</v>
      </c>
    </row>
    <row r="61" spans="1:8" s="2" customFormat="1" ht="11.25">
      <c r="A61" s="2" t="s">
        <v>54</v>
      </c>
      <c r="C61" s="9">
        <f>C36/C35</f>
        <v>0.5636817472698908</v>
      </c>
      <c r="D61" s="9">
        <f>(D36/0.75)/(D35/0.75)</f>
        <v>0.5829891925138388</v>
      </c>
      <c r="E61" s="9">
        <f>(E36/0.5)/(E35/0.5)</f>
        <v>0.5957909029192124</v>
      </c>
      <c r="F61" s="9">
        <f>(F36/0.25)/(F35/0.25)</f>
        <v>0.6104746317512275</v>
      </c>
      <c r="G61" s="9">
        <f>G36/G35</f>
        <v>0.5023279134732469</v>
      </c>
      <c r="H61" s="9">
        <f>H36/H35</f>
        <v>0.4882183908045977</v>
      </c>
    </row>
    <row r="62" spans="1:8" s="2" customFormat="1" ht="11.25">
      <c r="A62" s="3" t="s">
        <v>55</v>
      </c>
      <c r="B62" s="3"/>
      <c r="C62" s="11">
        <f>C34/C25</f>
        <v>0.013838469545744803</v>
      </c>
      <c r="D62" s="11">
        <f>(D34/0.75)/D25</f>
        <v>0.011042714734542039</v>
      </c>
      <c r="E62" s="11">
        <f>(E34/0.5)/E25</f>
        <v>0.010589826624345041</v>
      </c>
      <c r="F62" s="11">
        <f>(F34/0.25)/F25</f>
        <v>0.011490006948767692</v>
      </c>
      <c r="G62" s="11">
        <f>G34/G25</f>
        <v>0.011450806526207202</v>
      </c>
      <c r="H62" s="11">
        <f>H34/H25</f>
        <v>0.012289462374393713</v>
      </c>
    </row>
    <row r="63" s="2" customFormat="1" ht="11.25">
      <c r="A63" s="5" t="s">
        <v>56</v>
      </c>
    </row>
    <row r="64" spans="1:8" s="2" customFormat="1" ht="11.25">
      <c r="A64" s="2" t="s">
        <v>57</v>
      </c>
      <c r="C64" s="7">
        <v>112</v>
      </c>
      <c r="D64" s="7">
        <v>110</v>
      </c>
      <c r="E64" s="7">
        <v>110</v>
      </c>
      <c r="F64" s="7">
        <v>114</v>
      </c>
      <c r="G64" s="7">
        <v>115</v>
      </c>
      <c r="H64" s="7">
        <v>108</v>
      </c>
    </row>
    <row r="65" spans="1:8" s="2" customFormat="1" ht="11.25">
      <c r="A65" s="2" t="s">
        <v>58</v>
      </c>
      <c r="C65" s="7">
        <v>5</v>
      </c>
      <c r="D65" s="7">
        <v>5</v>
      </c>
      <c r="E65" s="7">
        <v>5</v>
      </c>
      <c r="F65" s="7">
        <v>5</v>
      </c>
      <c r="G65" s="7">
        <v>5</v>
      </c>
      <c r="H65" s="7">
        <v>5</v>
      </c>
    </row>
    <row r="66" spans="1:8" s="2" customFormat="1" ht="11.25">
      <c r="A66" s="2" t="s">
        <v>59</v>
      </c>
      <c r="C66" s="7">
        <f aca="true" t="shared" si="16" ref="C66:H66">C11/C64</f>
        <v>2412.8839285714284</v>
      </c>
      <c r="D66" s="7">
        <f t="shared" si="16"/>
        <v>2453.572727272727</v>
      </c>
      <c r="E66" s="7">
        <f t="shared" si="16"/>
        <v>2309.3636363636365</v>
      </c>
      <c r="F66" s="7">
        <f t="shared" si="16"/>
        <v>2170.2631578947367</v>
      </c>
      <c r="G66" s="7">
        <f t="shared" si="16"/>
        <v>2097.026086956522</v>
      </c>
      <c r="H66" s="7">
        <f t="shared" si="16"/>
        <v>2373.8425925925926</v>
      </c>
    </row>
    <row r="67" spans="1:8" s="2" customFormat="1" ht="11.25">
      <c r="A67" s="2" t="s">
        <v>60</v>
      </c>
      <c r="C67" s="7">
        <f aca="true" t="shared" si="17" ref="C67:H67">C15/C64</f>
        <v>2767.1964285714284</v>
      </c>
      <c r="D67" s="7">
        <f t="shared" si="17"/>
        <v>2926.1545454545453</v>
      </c>
      <c r="E67" s="7">
        <f t="shared" si="17"/>
        <v>2953.336363636364</v>
      </c>
      <c r="F67" s="7">
        <f t="shared" si="17"/>
        <v>2861.745614035088</v>
      </c>
      <c r="G67" s="7">
        <f t="shared" si="17"/>
        <v>2255.7391304347825</v>
      </c>
      <c r="H67" s="7">
        <f t="shared" si="17"/>
        <v>2469.5833333333335</v>
      </c>
    </row>
    <row r="68" spans="1:8" s="2" customFormat="1" ht="11.25">
      <c r="A68" s="3" t="s">
        <v>61</v>
      </c>
      <c r="B68" s="3"/>
      <c r="C68" s="8">
        <f aca="true" t="shared" si="18" ref="C68:H68">(C38/C64)</f>
        <v>29.669642857142858</v>
      </c>
      <c r="D68" s="8">
        <f t="shared" si="18"/>
        <v>24.381818181818183</v>
      </c>
      <c r="E68" s="8">
        <f t="shared" si="18"/>
        <v>14.772727272727273</v>
      </c>
      <c r="F68" s="8">
        <f t="shared" si="18"/>
        <v>6.087719298245614</v>
      </c>
      <c r="G68" s="8">
        <f t="shared" si="18"/>
        <v>41.504347826086956</v>
      </c>
      <c r="H68" s="8">
        <f t="shared" si="18"/>
        <v>39.93518518518518</v>
      </c>
    </row>
    <row r="69" s="2" customFormat="1" ht="11.25">
      <c r="A69" s="5" t="s">
        <v>62</v>
      </c>
    </row>
    <row r="70" spans="1:8" s="2" customFormat="1" ht="11.25">
      <c r="A70" s="2" t="s">
        <v>63</v>
      </c>
      <c r="C70" s="9">
        <f>(C9/G9)-1</f>
        <v>0.1656726266966826</v>
      </c>
      <c r="D70" s="9">
        <f>(D9/378421)-1</f>
        <v>0.010786927786777145</v>
      </c>
      <c r="E70" s="9">
        <f>(E9/398757)-1</f>
        <v>-0.04772831574116565</v>
      </c>
      <c r="F70" s="9">
        <f>(F9/391576)-1</f>
        <v>-0.022766972439577482</v>
      </c>
      <c r="G70" s="9">
        <f>(G9/H9)-1</f>
        <v>-0.013754211585050635</v>
      </c>
      <c r="H70" s="9">
        <f>(H9/265218)-1</f>
        <v>0.2108454177318282</v>
      </c>
    </row>
    <row r="71" spans="1:8" s="2" customFormat="1" ht="11.25">
      <c r="A71" s="2" t="s">
        <v>64</v>
      </c>
      <c r="C71" s="9">
        <f>(C11/G11)-1</f>
        <v>0.12060557808573624</v>
      </c>
      <c r="D71" s="9">
        <f>(D11/273625)-1</f>
        <v>-0.013639104613978992</v>
      </c>
      <c r="E71" s="9">
        <f>SUM(E72:E73)</f>
        <v>-0.7247725423180897</v>
      </c>
      <c r="F71" s="9">
        <f>F11/273947-1</f>
        <v>-0.09686910241762092</v>
      </c>
      <c r="G71" s="9">
        <f>(G11/H11)-1</f>
        <v>-0.05935446123842025</v>
      </c>
      <c r="H71" s="9">
        <f>H11/217699-1</f>
        <v>0.17765814266487223</v>
      </c>
    </row>
    <row r="72" spans="2:8" s="2" customFormat="1" ht="11.25">
      <c r="B72" s="2" t="s">
        <v>13</v>
      </c>
      <c r="C72" s="9">
        <f>(C12/G12)-1</f>
        <v>0.14455840048600077</v>
      </c>
      <c r="D72" s="9">
        <f>(D12/226062)-1</f>
        <v>0.13583441710681132</v>
      </c>
      <c r="E72" s="9">
        <f>(E12/232424)-1</f>
        <v>0.04058530960658113</v>
      </c>
      <c r="F72" s="9">
        <f>(F12/218922)-1</f>
        <v>0.06955902102118561</v>
      </c>
      <c r="G72" s="9">
        <f>(G12/H12)-1</f>
        <v>0.1179314064279009</v>
      </c>
      <c r="H72" s="9">
        <f>(H12/177897)-1</f>
        <v>0.12566260251718697</v>
      </c>
    </row>
    <row r="73" spans="2:8" s="2" customFormat="1" ht="11.25">
      <c r="B73" s="2" t="s">
        <v>14</v>
      </c>
      <c r="C73" s="9">
        <f>(C13/G13)-1</f>
        <v>-0.18953152111046845</v>
      </c>
      <c r="D73" s="9">
        <f>(D13/47562)-1</f>
        <v>-0.724065430385602</v>
      </c>
      <c r="E73" s="9">
        <f>(E13/51879)-1</f>
        <v>-0.7653578519246709</v>
      </c>
      <c r="F73" s="9">
        <f>(F13/55025)-1</f>
        <v>-0.7590186278964107</v>
      </c>
      <c r="G73" s="9">
        <f>(G13/H13)-1</f>
        <v>-0.6919266610836912</v>
      </c>
      <c r="H73" s="9">
        <f>(H13/39802)-1</f>
        <v>0.41005477111702926</v>
      </c>
    </row>
    <row r="74" spans="1:8" s="2" customFormat="1" ht="11.25">
      <c r="A74" s="2" t="s">
        <v>65</v>
      </c>
      <c r="C74" s="9">
        <f>(C15/G15)-1</f>
        <v>0.19473420454107404</v>
      </c>
      <c r="D74" s="9">
        <f>D15/325377-1</f>
        <v>-0.010756752935825231</v>
      </c>
      <c r="E74" s="9">
        <f>E15/347555-1</f>
        <v>-0.06527887672454724</v>
      </c>
      <c r="F74" s="9">
        <f>F15/341620-1</f>
        <v>-0.04502371055558807</v>
      </c>
      <c r="G74" s="9">
        <f>(G15/H15)-1</f>
        <v>-0.027388785782576863</v>
      </c>
      <c r="H74" s="9">
        <f>H15/221030-1</f>
        <v>0.2066913993575532</v>
      </c>
    </row>
    <row r="75" spans="2:8" s="2" customFormat="1" ht="11.25">
      <c r="B75" s="2" t="s">
        <v>13</v>
      </c>
      <c r="C75" s="9">
        <f>(C16/G16)-1</f>
        <v>0.044024644914764766</v>
      </c>
      <c r="D75" s="9">
        <f>(D16/122472)-1</f>
        <v>0.1304543079234437</v>
      </c>
      <c r="E75" s="9">
        <f>(E16/126078)-1</f>
        <v>0.09871666745982655</v>
      </c>
      <c r="F75" s="9">
        <f>(F16/117072)-1</f>
        <v>0.1795390870575373</v>
      </c>
      <c r="G75" s="9">
        <f>(G16/H16)-1</f>
        <v>0.1776227435248976</v>
      </c>
      <c r="H75" s="9">
        <f>(H16/102882)-1</f>
        <v>0.1145778659046286</v>
      </c>
    </row>
    <row r="76" spans="2:8" s="2" customFormat="1" ht="11.25">
      <c r="B76" s="2" t="s">
        <v>14</v>
      </c>
      <c r="C76" s="9">
        <f>(C20/G20)-1</f>
        <v>0.35836844305792304</v>
      </c>
      <c r="D76" s="9">
        <f>(D20/202905)-1</f>
        <v>-0.09599073458022223</v>
      </c>
      <c r="E76" s="9">
        <f>(E20/221477)-1</f>
        <v>-0.1586349824135238</v>
      </c>
      <c r="F76" s="9">
        <f>(F20/224548)-1</f>
        <v>-0.16210342554821244</v>
      </c>
      <c r="G76" s="9">
        <f>(G20/H20)-1</f>
        <v>-0.1820053273701865</v>
      </c>
      <c r="H76" s="9">
        <f>(H20/113148)-1</f>
        <v>0.3437709902075159</v>
      </c>
    </row>
    <row r="77" spans="1:8" s="2" customFormat="1" ht="11.25">
      <c r="A77" s="2" t="s">
        <v>66</v>
      </c>
      <c r="C77" s="9">
        <f>(C23/G23)-1</f>
        <v>0.0322913383570671</v>
      </c>
      <c r="D77" s="9">
        <f>(D23/33475)-1</f>
        <v>0.05717699775952201</v>
      </c>
      <c r="E77" s="9">
        <f>(E23/32136)-1</f>
        <v>0.06827234254418713</v>
      </c>
      <c r="F77" s="9">
        <f>(F23/30899)-1</f>
        <v>0.08077931324638343</v>
      </c>
      <c r="G77" s="9">
        <f>(G23/H23)-1</f>
        <v>0.06626542832701943</v>
      </c>
      <c r="H77" s="9">
        <f>(H23/31419)-1</f>
        <v>0.04178999968172126</v>
      </c>
    </row>
    <row r="78" spans="1:8" s="2" customFormat="1" ht="11.25">
      <c r="A78" s="3" t="s">
        <v>67</v>
      </c>
      <c r="B78" s="3"/>
      <c r="C78" s="11">
        <f>(C38/G38)-1</f>
        <v>-0.3037921642572805</v>
      </c>
      <c r="D78" s="11">
        <f>(D38/3608)-1</f>
        <v>-0.25665188470066513</v>
      </c>
      <c r="E78" s="11">
        <f>(E38/2282)-1</f>
        <v>-0.2879053461875548</v>
      </c>
      <c r="F78" s="11">
        <f>(F38/1045)-1</f>
        <v>-0.3358851674641148</v>
      </c>
      <c r="G78" s="11">
        <f>(G38/H38)-1</f>
        <v>0.10665430095061446</v>
      </c>
      <c r="H78" s="11">
        <f>(H38/3121)-1</f>
        <v>0.38192886895225886</v>
      </c>
    </row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2002-04-24T14:55:08Z</cp:lastPrinted>
  <dcterms:created xsi:type="dcterms:W3CDTF">2002-03-08T14:00:18Z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