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ogotá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<sst xmlns="http://schemas.openxmlformats.org/spreadsheetml/2006/main" count="80" uniqueCount="68">
  <si>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18-26    BANCO DE BOGOTA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</si>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</sst>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11.421875" defaultRowHeight="12.75"/>
  <cols>
    <col min="1" max="1" width="3.28125" style="1" customWidth="1"/>
    <col min="2" max="2" width="34.140625" style="1" customWidth="1"/>
    <col min="3" max="3" width="10.7109375" style="1" customWidth="1"/>
    <col min="4" max="4" width="10.421875" style="1" customWidth="1"/>
    <col min="5" max="5" width="10.140625" style="1" customWidth="1"/>
    <col min="6" max="6" width="10.57421875" style="1" customWidth="1"/>
    <col min="7" max="7" width="10.7109375" style="1" customWidth="1"/>
    <col min="8" max="8" width="10.8515625" style="1" customWidth="1"/>
    <col min="9" max="16384" width="11.421875" style="1" customWidth="1"/>
  </cols>
  <sheetData>
    <row r="1" spans="2:8" s="2" customFormat="1" ht="11.25">
      <c r="B1" s="14"/>
      <c r="C1" s="14"/>
      <c r="D1" s="14"/>
      <c r="E1" s="14"/>
      <c r="F1" s="14"/>
      <c r="G1" s="14"/>
      <c r="H1" s="14"/>
    </row>
    <row r="2" spans="2:8" s="2" customFormat="1" ht="11.25">
      <c r="B2" s="14"/>
      <c r="C2" s="14"/>
      <c r="D2" s="14"/>
      <c r="E2" s="14"/>
      <c r="F2" s="14" t="s">
        <v>0</v>
      </c>
      <c r="G2" s="14"/>
      <c r="H2" s="14"/>
    </row>
    <row r="3" spans="2:8" s="2" customFormat="1" ht="11.25">
      <c r="B3" s="15"/>
      <c r="C3" s="15"/>
      <c r="D3" s="15"/>
      <c r="E3" s="15"/>
      <c r="F3" s="14" t="s">
        <v>1</v>
      </c>
      <c r="G3" s="15"/>
      <c r="H3" s="15"/>
    </row>
    <row r="4" spans="1:8" s="2" customFormat="1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s="2" customFormat="1" ht="11.25">
      <c r="A5" s="15"/>
      <c r="B5" s="15"/>
      <c r="C5" s="15"/>
      <c r="D5" s="15"/>
      <c r="E5" s="15"/>
      <c r="F5" s="15"/>
      <c r="G5" s="15"/>
      <c r="H5" s="15"/>
    </row>
    <row r="6" spans="1:8" s="2" customFormat="1" ht="11.25">
      <c r="A6" s="15"/>
      <c r="B6" s="15"/>
      <c r="C6" s="15"/>
      <c r="D6" s="15"/>
      <c r="E6" s="15"/>
      <c r="F6" s="15"/>
      <c r="G6" s="15"/>
      <c r="H6" s="15"/>
    </row>
    <row r="7" spans="1:8" s="2" customFormat="1" ht="11.25">
      <c r="A7" s="15"/>
      <c r="B7" s="15"/>
      <c r="C7" s="15"/>
      <c r="D7" s="15"/>
      <c r="E7" s="15"/>
      <c r="F7" s="15"/>
      <c r="G7" s="15"/>
      <c r="H7" s="15"/>
    </row>
    <row r="8" spans="1:8" s="2" customFormat="1" ht="11.25">
      <c r="A8" s="16"/>
      <c r="B8" s="16"/>
      <c r="C8" s="16"/>
      <c r="D8" s="16"/>
      <c r="E8" s="16"/>
      <c r="F8" s="16"/>
      <c r="G8" s="16"/>
      <c r="H8" s="16"/>
    </row>
    <row r="9" spans="1:8" s="2" customFormat="1" ht="11.25">
      <c r="A9" s="4"/>
      <c r="B9" s="4"/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</row>
    <row r="10" spans="1:8" s="2" customFormat="1" ht="11.25">
      <c r="A10" s="5" t="s">
        <v>9</v>
      </c>
      <c r="B10" s="5"/>
      <c r="C10" s="6"/>
      <c r="D10" s="6"/>
      <c r="E10" s="6"/>
      <c r="F10" s="6"/>
      <c r="G10" s="6"/>
      <c r="H10" s="6"/>
    </row>
    <row r="11" spans="1:8" s="2" customFormat="1" ht="11.25">
      <c r="A11" s="2" t="s">
        <v>10</v>
      </c>
      <c r="C11" s="7">
        <v>22278</v>
      </c>
      <c r="D11" s="7">
        <v>13666</v>
      </c>
      <c r="E11" s="7">
        <v>12828</v>
      </c>
      <c r="F11" s="7">
        <v>17901</v>
      </c>
      <c r="G11" s="7">
        <v>17948</v>
      </c>
      <c r="H11" s="7">
        <v>13571</v>
      </c>
    </row>
    <row r="12" spans="1:8" s="2" customFormat="1" ht="11.25">
      <c r="A12" s="2" t="s">
        <v>11</v>
      </c>
      <c r="C12" s="7">
        <v>6878</v>
      </c>
      <c r="D12" s="7">
        <v>6660</v>
      </c>
      <c r="E12" s="7">
        <v>5223</v>
      </c>
      <c r="F12" s="7">
        <v>13690</v>
      </c>
      <c r="G12" s="7">
        <v>14024</v>
      </c>
      <c r="H12" s="7">
        <v>7481</v>
      </c>
    </row>
    <row r="13" spans="1:8" s="2" customFormat="1" ht="11.25">
      <c r="A13" s="2" t="s">
        <v>12</v>
      </c>
      <c r="C13" s="7">
        <f aca="true" t="shared" si="0" ref="C13:H13">C14+C15</f>
        <v>4033</v>
      </c>
      <c r="D13" s="7">
        <f t="shared" si="0"/>
        <v>3719</v>
      </c>
      <c r="E13" s="7">
        <f t="shared" si="0"/>
        <v>3753</v>
      </c>
      <c r="F13" s="7">
        <f t="shared" si="0"/>
        <v>3735</v>
      </c>
      <c r="G13" s="7">
        <f t="shared" si="0"/>
        <v>3451</v>
      </c>
      <c r="H13" s="7">
        <f t="shared" si="0"/>
        <v>4476</v>
      </c>
    </row>
    <row r="14" spans="2:8" s="2" customFormat="1" ht="11.25">
      <c r="B14" s="2" t="s">
        <v>13</v>
      </c>
      <c r="C14" s="7">
        <v>4033</v>
      </c>
      <c r="D14" s="7">
        <v>3719</v>
      </c>
      <c r="E14" s="7">
        <v>3753</v>
      </c>
      <c r="F14" s="7">
        <v>3735</v>
      </c>
      <c r="G14" s="7">
        <v>3451</v>
      </c>
      <c r="H14" s="7">
        <v>4476</v>
      </c>
    </row>
    <row r="15" spans="2:8" s="2" customFormat="1" ht="11.25">
      <c r="B15" s="2" t="s">
        <v>14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s="2" customFormat="1" ht="11.25">
      <c r="A16" s="2" t="s">
        <v>15</v>
      </c>
      <c r="C16" s="7">
        <v>10841</v>
      </c>
      <c r="D16" s="7">
        <v>2857</v>
      </c>
      <c r="E16" s="7">
        <v>2871</v>
      </c>
      <c r="F16" s="7">
        <v>58</v>
      </c>
      <c r="G16" s="7">
        <v>57</v>
      </c>
      <c r="H16" s="7">
        <v>57</v>
      </c>
    </row>
    <row r="17" spans="1:8" s="2" customFormat="1" ht="11.25">
      <c r="A17" s="2" t="s">
        <v>16</v>
      </c>
      <c r="C17" s="7">
        <f aca="true" t="shared" si="1" ref="C17:H17">C18+C22</f>
        <v>2082</v>
      </c>
      <c r="D17" s="7">
        <f t="shared" si="1"/>
        <v>2464</v>
      </c>
      <c r="E17" s="7">
        <f t="shared" si="1"/>
        <v>2384</v>
      </c>
      <c r="F17" s="7">
        <f t="shared" si="1"/>
        <v>2080</v>
      </c>
      <c r="G17" s="7">
        <f t="shared" si="1"/>
        <v>2344</v>
      </c>
      <c r="H17" s="7">
        <f t="shared" si="1"/>
        <v>3041</v>
      </c>
    </row>
    <row r="18" spans="2:8" s="2" customFormat="1" ht="11.25">
      <c r="B18" s="2" t="s">
        <v>13</v>
      </c>
      <c r="C18" s="7">
        <f aca="true" t="shared" si="2" ref="C18:H18">SUM(C19:C21)</f>
        <v>2082</v>
      </c>
      <c r="D18" s="7">
        <f t="shared" si="2"/>
        <v>2464</v>
      </c>
      <c r="E18" s="7">
        <f t="shared" si="2"/>
        <v>2384</v>
      </c>
      <c r="F18" s="7">
        <f t="shared" si="2"/>
        <v>2080</v>
      </c>
      <c r="G18" s="7">
        <f t="shared" si="2"/>
        <v>2344</v>
      </c>
      <c r="H18" s="7">
        <f t="shared" si="2"/>
        <v>3041</v>
      </c>
    </row>
    <row r="19" spans="2:8" s="2" customFormat="1" ht="11.25">
      <c r="B19" s="2" t="s">
        <v>17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2:8" s="2" customFormat="1" ht="11.25">
      <c r="B20" s="2" t="s">
        <v>18</v>
      </c>
      <c r="C20" s="7">
        <v>2082</v>
      </c>
      <c r="D20" s="7">
        <v>2464</v>
      </c>
      <c r="E20" s="7">
        <v>2384</v>
      </c>
      <c r="F20" s="7">
        <v>2080</v>
      </c>
      <c r="G20" s="7">
        <v>2344</v>
      </c>
      <c r="H20" s="7">
        <v>3041</v>
      </c>
    </row>
    <row r="21" spans="2:8" s="2" customFormat="1" ht="11.25">
      <c r="B21" s="2" t="s">
        <v>19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2:8" s="2" customFormat="1" ht="11.25">
      <c r="B22" s="2" t="s">
        <v>14</v>
      </c>
      <c r="C22" s="7">
        <f aca="true" t="shared" si="3" ref="C22:H22">SUM(C23:C24)</f>
        <v>0</v>
      </c>
      <c r="D22" s="7">
        <f t="shared" si="3"/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</row>
    <row r="23" spans="2:8" s="2" customFormat="1" ht="11.25">
      <c r="B23" s="2" t="s">
        <v>18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2:8" s="2" customFormat="1" ht="11.25">
      <c r="B24" s="2" t="s">
        <v>19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s="2" customFormat="1" ht="11.25">
      <c r="A25" s="3" t="s">
        <v>20</v>
      </c>
      <c r="B25" s="3"/>
      <c r="C25" s="8">
        <v>9968</v>
      </c>
      <c r="D25" s="8">
        <v>9870</v>
      </c>
      <c r="E25" s="8">
        <v>9776</v>
      </c>
      <c r="F25" s="8">
        <v>9694</v>
      </c>
      <c r="G25" s="8">
        <v>9995</v>
      </c>
      <c r="H25" s="8">
        <v>9910</v>
      </c>
    </row>
    <row r="26" spans="1:8" s="2" customFormat="1" ht="11.25">
      <c r="A26" s="5" t="s">
        <v>21</v>
      </c>
      <c r="C26" s="7"/>
      <c r="D26" s="7"/>
      <c r="E26" s="7"/>
      <c r="F26" s="7"/>
      <c r="G26" s="7"/>
      <c r="H26" s="7"/>
    </row>
    <row r="27" spans="1:8" s="2" customFormat="1" ht="11.25">
      <c r="A27" s="2" t="s">
        <v>10</v>
      </c>
      <c r="C27" s="7">
        <f>(22278+17948)/2</f>
        <v>20113</v>
      </c>
      <c r="D27" s="7">
        <f>(D11+13892)/2</f>
        <v>13779</v>
      </c>
      <c r="E27" s="7">
        <f>(E11+12916)/2</f>
        <v>12872</v>
      </c>
      <c r="F27" s="7">
        <f>(F11+22231)/2</f>
        <v>20066</v>
      </c>
      <c r="G27" s="7">
        <f>(G11+H11)/2</f>
        <v>15759.5</v>
      </c>
      <c r="H27" s="7">
        <f>(H11+131965)/2</f>
        <v>72768</v>
      </c>
    </row>
    <row r="28" spans="1:8" s="2" customFormat="1" ht="11.25">
      <c r="A28" s="2" t="s">
        <v>22</v>
      </c>
      <c r="C28" s="7">
        <f aca="true" t="shared" si="4" ref="C28:H28">C29+C30</f>
        <v>9191</v>
      </c>
      <c r="D28" s="7">
        <f t="shared" si="4"/>
        <v>4978</v>
      </c>
      <c r="E28" s="7">
        <f t="shared" si="4"/>
        <v>5164.5</v>
      </c>
      <c r="F28" s="7">
        <f t="shared" si="4"/>
        <v>4191</v>
      </c>
      <c r="G28" s="7">
        <f t="shared" si="4"/>
        <v>4020.5</v>
      </c>
      <c r="H28" s="7">
        <f t="shared" si="4"/>
        <v>56621.5</v>
      </c>
    </row>
    <row r="29" spans="2:8" s="2" customFormat="1" ht="11.25">
      <c r="B29" s="2" t="s">
        <v>12</v>
      </c>
      <c r="C29" s="7">
        <f>(C13+G13)/2</f>
        <v>3742</v>
      </c>
      <c r="D29" s="7">
        <f>(D13+3323)/2</f>
        <v>3521</v>
      </c>
      <c r="E29" s="7">
        <f>(E13+3648)/2</f>
        <v>3700.5</v>
      </c>
      <c r="F29" s="7">
        <f>(F13+4532)/2</f>
        <v>4133.5</v>
      </c>
      <c r="G29" s="7">
        <f>(G13+H13)/2</f>
        <v>3963.5</v>
      </c>
      <c r="H29" s="7">
        <f>(H13+76960)/2</f>
        <v>40718</v>
      </c>
    </row>
    <row r="30" spans="2:8" s="2" customFormat="1" ht="11.25">
      <c r="B30" s="2" t="s">
        <v>15</v>
      </c>
      <c r="C30" s="7">
        <f>(C16+G16)/2</f>
        <v>5449</v>
      </c>
      <c r="D30" s="7">
        <f>(D16+57)/2</f>
        <v>1457</v>
      </c>
      <c r="E30" s="7">
        <f>(E16+57)/2</f>
        <v>1464</v>
      </c>
      <c r="F30" s="7">
        <f>(F16+57)/2</f>
        <v>57.5</v>
      </c>
      <c r="G30" s="7">
        <f>(G16+H16)/2</f>
        <v>57</v>
      </c>
      <c r="H30" s="7">
        <f>(H16+31750)/2</f>
        <v>15903.5</v>
      </c>
    </row>
    <row r="31" spans="1:8" s="2" customFormat="1" ht="11.25">
      <c r="A31" s="3" t="s">
        <v>20</v>
      </c>
      <c r="B31" s="3"/>
      <c r="C31" s="8">
        <f>(C25+G25)/2</f>
        <v>9981.5</v>
      </c>
      <c r="D31" s="8">
        <f>(D25+9905)/2</f>
        <v>9887.5</v>
      </c>
      <c r="E31" s="8">
        <f>(E25+9058)/2</f>
        <v>9417</v>
      </c>
      <c r="F31" s="8">
        <f>(F25+8604)/2</f>
        <v>9149</v>
      </c>
      <c r="G31" s="8">
        <f>(G25+H25)/2</f>
        <v>9952.5</v>
      </c>
      <c r="H31" s="8">
        <f>(H25+17980)/2</f>
        <v>13945</v>
      </c>
    </row>
    <row r="32" s="2" customFormat="1" ht="11.25">
      <c r="A32" s="5" t="s">
        <v>23</v>
      </c>
    </row>
    <row r="33" spans="1:8" s="2" customFormat="1" ht="11.25">
      <c r="A33" s="2" t="s">
        <v>24</v>
      </c>
      <c r="C33" s="7">
        <f>294+D33</f>
        <v>1115</v>
      </c>
      <c r="D33" s="7">
        <f>251+E33</f>
        <v>821</v>
      </c>
      <c r="E33" s="7">
        <f>255+F33</f>
        <v>570</v>
      </c>
      <c r="F33" s="7">
        <v>315</v>
      </c>
      <c r="G33" s="7">
        <v>747</v>
      </c>
      <c r="H33" s="7">
        <v>853</v>
      </c>
    </row>
    <row r="34" spans="1:8" s="2" customFormat="1" ht="11.25">
      <c r="A34" s="2" t="s">
        <v>25</v>
      </c>
      <c r="C34" s="7">
        <f>22+D34</f>
        <v>80</v>
      </c>
      <c r="D34" s="7">
        <f>18+E34</f>
        <v>58</v>
      </c>
      <c r="E34" s="7">
        <f>20+F34</f>
        <v>40</v>
      </c>
      <c r="F34" s="7">
        <v>20</v>
      </c>
      <c r="G34" s="7">
        <v>102</v>
      </c>
      <c r="H34" s="7">
        <v>105</v>
      </c>
    </row>
    <row r="35" spans="1:8" s="2" customFormat="1" ht="11.25">
      <c r="A35" s="2" t="s">
        <v>26</v>
      </c>
      <c r="C35" s="7">
        <f aca="true" t="shared" si="5" ref="C35:H35">C33-C34</f>
        <v>1035</v>
      </c>
      <c r="D35" s="7">
        <f t="shared" si="5"/>
        <v>763</v>
      </c>
      <c r="E35" s="7">
        <f t="shared" si="5"/>
        <v>530</v>
      </c>
      <c r="F35" s="7">
        <f t="shared" si="5"/>
        <v>295</v>
      </c>
      <c r="G35" s="7">
        <f t="shared" si="5"/>
        <v>645</v>
      </c>
      <c r="H35" s="7">
        <f t="shared" si="5"/>
        <v>748</v>
      </c>
    </row>
    <row r="36" spans="1:8" s="2" customFormat="1" ht="11.25">
      <c r="A36" s="2" t="s">
        <v>27</v>
      </c>
      <c r="C36" s="7">
        <f>245+D36</f>
        <v>951</v>
      </c>
      <c r="D36" s="7">
        <f>240+E36</f>
        <v>706</v>
      </c>
      <c r="E36" s="7">
        <f>233+F36</f>
        <v>466</v>
      </c>
      <c r="F36" s="7">
        <v>233</v>
      </c>
      <c r="G36" s="7">
        <v>1709</v>
      </c>
      <c r="H36" s="7">
        <v>79</v>
      </c>
    </row>
    <row r="37" spans="1:8" s="2" customFormat="1" ht="11.25">
      <c r="A37" s="2" t="s">
        <v>28</v>
      </c>
      <c r="C37" s="7">
        <f aca="true" t="shared" si="6" ref="C37:H37">C35+C36</f>
        <v>1986</v>
      </c>
      <c r="D37" s="7">
        <f t="shared" si="6"/>
        <v>1469</v>
      </c>
      <c r="E37" s="7">
        <f t="shared" si="6"/>
        <v>996</v>
      </c>
      <c r="F37" s="7">
        <f t="shared" si="6"/>
        <v>528</v>
      </c>
      <c r="G37" s="7">
        <f t="shared" si="6"/>
        <v>2354</v>
      </c>
      <c r="H37" s="7">
        <f t="shared" si="6"/>
        <v>827</v>
      </c>
    </row>
    <row r="38" spans="1:8" s="2" customFormat="1" ht="11.25">
      <c r="A38" s="2" t="s">
        <v>29</v>
      </c>
      <c r="C38" s="7">
        <f>420+D38</f>
        <v>1561</v>
      </c>
      <c r="D38" s="7">
        <f>378+E38</f>
        <v>1141</v>
      </c>
      <c r="E38" s="7">
        <f>384+F38</f>
        <v>763</v>
      </c>
      <c r="F38" s="7">
        <v>379</v>
      </c>
      <c r="G38" s="7">
        <v>1586</v>
      </c>
      <c r="H38" s="7">
        <v>1523</v>
      </c>
    </row>
    <row r="39" spans="1:8" s="2" customFormat="1" ht="11.25">
      <c r="A39" s="2" t="s">
        <v>30</v>
      </c>
      <c r="C39" s="7">
        <f aca="true" t="shared" si="7" ref="C39:H39">C37-C38</f>
        <v>425</v>
      </c>
      <c r="D39" s="7">
        <f t="shared" si="7"/>
        <v>328</v>
      </c>
      <c r="E39" s="7">
        <f t="shared" si="7"/>
        <v>233</v>
      </c>
      <c r="F39" s="7">
        <f t="shared" si="7"/>
        <v>149</v>
      </c>
      <c r="G39" s="7">
        <f t="shared" si="7"/>
        <v>768</v>
      </c>
      <c r="H39" s="7">
        <f t="shared" si="7"/>
        <v>-696</v>
      </c>
    </row>
    <row r="40" spans="1:8" s="2" customFormat="1" ht="11.25">
      <c r="A40" s="3" t="s">
        <v>31</v>
      </c>
      <c r="B40" s="3"/>
      <c r="C40" s="8">
        <f>97+D40</f>
        <v>424</v>
      </c>
      <c r="D40" s="8">
        <f>95+E40</f>
        <v>327</v>
      </c>
      <c r="E40" s="8">
        <f>83+F40</f>
        <v>232</v>
      </c>
      <c r="F40" s="8">
        <v>149</v>
      </c>
      <c r="G40" s="8">
        <v>768</v>
      </c>
      <c r="H40" s="8">
        <v>-701</v>
      </c>
    </row>
    <row r="41" spans="1:8" s="2" customFormat="1" ht="11.25">
      <c r="A41" s="5" t="s">
        <v>32</v>
      </c>
      <c r="C41" s="7"/>
      <c r="D41" s="7"/>
      <c r="E41" s="7"/>
      <c r="F41" s="7"/>
      <c r="G41" s="7"/>
      <c r="H41" s="7"/>
    </row>
    <row r="42" spans="1:8" s="2" customFormat="1" ht="11.25">
      <c r="A42" s="2" t="s">
        <v>33</v>
      </c>
      <c r="C42" s="7">
        <v>18</v>
      </c>
      <c r="D42" s="7">
        <v>22</v>
      </c>
      <c r="E42" s="7">
        <v>29</v>
      </c>
      <c r="F42" s="7">
        <v>33</v>
      </c>
      <c r="G42" s="7">
        <v>16</v>
      </c>
      <c r="H42" s="7">
        <v>240</v>
      </c>
    </row>
    <row r="43" spans="1:8" s="2" customFormat="1" ht="11.25">
      <c r="A43" s="2" t="s">
        <v>34</v>
      </c>
      <c r="C43" s="7">
        <v>46</v>
      </c>
      <c r="D43" s="7">
        <v>49</v>
      </c>
      <c r="E43" s="7">
        <v>53</v>
      </c>
      <c r="F43" s="7">
        <v>55</v>
      </c>
      <c r="G43" s="7">
        <v>63</v>
      </c>
      <c r="H43" s="7">
        <v>3</v>
      </c>
    </row>
    <row r="44" spans="1:8" s="2" customFormat="1" ht="11.25">
      <c r="A44" s="2" t="s">
        <v>35</v>
      </c>
      <c r="C44" s="9">
        <f aca="true" t="shared" si="8" ref="C44:H44">C42/C13</f>
        <v>0.004463178775105381</v>
      </c>
      <c r="D44" s="9">
        <f t="shared" si="8"/>
        <v>0.005915568701263781</v>
      </c>
      <c r="E44" s="9">
        <f t="shared" si="8"/>
        <v>0.0077271516120436985</v>
      </c>
      <c r="F44" s="9">
        <f t="shared" si="8"/>
        <v>0.008835341365461847</v>
      </c>
      <c r="G44" s="9">
        <f t="shared" si="8"/>
        <v>0.004636337293538105</v>
      </c>
      <c r="H44" s="9">
        <f t="shared" si="8"/>
        <v>0.05361930294906166</v>
      </c>
    </row>
    <row r="45" spans="1:8" s="2" customFormat="1" ht="11.25">
      <c r="A45" s="2" t="s">
        <v>36</v>
      </c>
      <c r="C45" s="9">
        <f aca="true" t="shared" si="9" ref="C45:H45">(C43)/C13</f>
        <v>0.011405901314158196</v>
      </c>
      <c r="D45" s="9">
        <f t="shared" si="9"/>
        <v>0.013175584834632966</v>
      </c>
      <c r="E45" s="9">
        <f t="shared" si="9"/>
        <v>0.014122035704769519</v>
      </c>
      <c r="F45" s="9">
        <f t="shared" si="9"/>
        <v>0.014725568942436412</v>
      </c>
      <c r="G45" s="9">
        <f t="shared" si="9"/>
        <v>0.018255578093306288</v>
      </c>
      <c r="H45" s="9">
        <f t="shared" si="9"/>
        <v>0.0006702412868632708</v>
      </c>
    </row>
    <row r="46" spans="1:8" s="2" customFormat="1" ht="11.25">
      <c r="A46" s="10" t="s">
        <v>37</v>
      </c>
      <c r="C46" s="9">
        <f aca="true" t="shared" si="10" ref="C46:H46">(C42+C43)/C13</f>
        <v>0.015869080089263576</v>
      </c>
      <c r="D46" s="9">
        <f t="shared" si="10"/>
        <v>0.019091153535896747</v>
      </c>
      <c r="E46" s="9">
        <f t="shared" si="10"/>
        <v>0.021849187316813217</v>
      </c>
      <c r="F46" s="9">
        <f t="shared" si="10"/>
        <v>0.02356091030789826</v>
      </c>
      <c r="G46" s="9">
        <f t="shared" si="10"/>
        <v>0.022891915386844392</v>
      </c>
      <c r="H46" s="9">
        <f t="shared" si="10"/>
        <v>0.054289544235924934</v>
      </c>
    </row>
    <row r="47" spans="1:8" s="2" customFormat="1" ht="11.25">
      <c r="A47" s="2" t="s">
        <v>38</v>
      </c>
      <c r="C47" s="9">
        <v>0.0496</v>
      </c>
      <c r="D47" s="9">
        <v>0.0538</v>
      </c>
      <c r="E47" s="9">
        <v>0.0533</v>
      </c>
      <c r="F47" s="9">
        <v>0.0535</v>
      </c>
      <c r="G47" s="9">
        <v>0.058</v>
      </c>
      <c r="H47" s="9">
        <f>(1/H13)</f>
        <v>0.00022341376228775692</v>
      </c>
    </row>
    <row r="48" spans="1:8" s="2" customFormat="1" ht="11.25">
      <c r="A48" s="3" t="s">
        <v>39</v>
      </c>
      <c r="B48" s="3"/>
      <c r="C48" s="11">
        <v>3.1208</v>
      </c>
      <c r="D48" s="11">
        <v>2.8155</v>
      </c>
      <c r="E48" s="11">
        <v>2.419</v>
      </c>
      <c r="F48" s="11">
        <v>2.2579</v>
      </c>
      <c r="G48" s="11">
        <v>2.5176</v>
      </c>
      <c r="H48" s="11">
        <f>1/(H42+H43)</f>
        <v>0.00411522633744856</v>
      </c>
    </row>
    <row r="49" s="2" customFormat="1" ht="11.25">
      <c r="A49" s="5" t="s">
        <v>40</v>
      </c>
    </row>
    <row r="50" spans="1:8" s="2" customFormat="1" ht="11.25">
      <c r="A50" s="2" t="s">
        <v>41</v>
      </c>
      <c r="C50" s="9">
        <f aca="true" t="shared" si="11" ref="C50:H50">C25/(C13+C16)</f>
        <v>0.6701627000134462</v>
      </c>
      <c r="D50" s="9">
        <f t="shared" si="11"/>
        <v>1.5009124087591241</v>
      </c>
      <c r="E50" s="9">
        <f t="shared" si="11"/>
        <v>1.4758454106280192</v>
      </c>
      <c r="F50" s="9">
        <f t="shared" si="11"/>
        <v>2.555760611653045</v>
      </c>
      <c r="G50" s="9">
        <f t="shared" si="11"/>
        <v>2.8492018244013684</v>
      </c>
      <c r="H50" s="9">
        <f t="shared" si="11"/>
        <v>2.186190161041253</v>
      </c>
    </row>
    <row r="51" spans="1:8" s="2" customFormat="1" ht="11.25">
      <c r="A51" s="3" t="s">
        <v>42</v>
      </c>
      <c r="B51" s="3"/>
      <c r="C51" s="11">
        <f aca="true" t="shared" si="12" ref="C51:H51">C25/C11</f>
        <v>0.44743693329742346</v>
      </c>
      <c r="D51" s="11">
        <f t="shared" si="12"/>
        <v>0.7222303527001317</v>
      </c>
      <c r="E51" s="11">
        <f t="shared" si="12"/>
        <v>0.7620829435609604</v>
      </c>
      <c r="F51" s="11">
        <f t="shared" si="12"/>
        <v>0.5415339925143847</v>
      </c>
      <c r="G51" s="11">
        <f t="shared" si="12"/>
        <v>0.5568865611767327</v>
      </c>
      <c r="H51" s="11">
        <f t="shared" si="12"/>
        <v>0.7302335863237787</v>
      </c>
    </row>
    <row r="52" spans="1:8" s="2" customFormat="1" ht="11.25">
      <c r="A52" s="5" t="s">
        <v>43</v>
      </c>
      <c r="C52" s="12"/>
      <c r="D52" s="12"/>
      <c r="E52" s="12"/>
      <c r="F52" s="12"/>
      <c r="G52" s="12"/>
      <c r="H52" s="12"/>
    </row>
    <row r="53" spans="1:8" s="2" customFormat="1" ht="11.25">
      <c r="A53" s="2" t="s">
        <v>44</v>
      </c>
      <c r="C53" s="12">
        <f aca="true" t="shared" si="13" ref="C53:H53">C12/C17</f>
        <v>3.303554274735831</v>
      </c>
      <c r="D53" s="12">
        <f t="shared" si="13"/>
        <v>2.7029220779220777</v>
      </c>
      <c r="E53" s="12">
        <f t="shared" si="13"/>
        <v>2.1908557046979866</v>
      </c>
      <c r="F53" s="12">
        <f t="shared" si="13"/>
        <v>6.581730769230769</v>
      </c>
      <c r="G53" s="12">
        <f t="shared" si="13"/>
        <v>5.982935153583618</v>
      </c>
      <c r="H53" s="12">
        <f t="shared" si="13"/>
        <v>2.4600460374876687</v>
      </c>
    </row>
    <row r="54" spans="1:8" s="2" customFormat="1" ht="11.25">
      <c r="A54" s="2" t="s">
        <v>45</v>
      </c>
      <c r="C54" s="12">
        <f aca="true" t="shared" si="14" ref="C54:H54">C12/C11</f>
        <v>0.30873507496184577</v>
      </c>
      <c r="D54" s="12">
        <f t="shared" si="14"/>
        <v>0.4873408458949217</v>
      </c>
      <c r="E54" s="12">
        <f t="shared" si="14"/>
        <v>0.40715622076707203</v>
      </c>
      <c r="F54" s="12">
        <f t="shared" si="14"/>
        <v>0.764761745153902</v>
      </c>
      <c r="G54" s="12">
        <f t="shared" si="14"/>
        <v>0.7813683975930465</v>
      </c>
      <c r="H54" s="12">
        <f t="shared" si="14"/>
        <v>0.5512489868101098</v>
      </c>
    </row>
    <row r="55" spans="1:8" s="2" customFormat="1" ht="11.25">
      <c r="A55" s="3" t="s">
        <v>46</v>
      </c>
      <c r="B55" s="3"/>
      <c r="C55" s="13">
        <f aca="true" t="shared" si="15" ref="C55:H55">(C12+C16)/C17</f>
        <v>8.510566762728146</v>
      </c>
      <c r="D55" s="13">
        <f t="shared" si="15"/>
        <v>3.862418831168831</v>
      </c>
      <c r="E55" s="13">
        <f t="shared" si="15"/>
        <v>3.3951342281879193</v>
      </c>
      <c r="F55" s="13">
        <f t="shared" si="15"/>
        <v>6.609615384615385</v>
      </c>
      <c r="G55" s="13">
        <f t="shared" si="15"/>
        <v>6.007252559726963</v>
      </c>
      <c r="H55" s="13">
        <f t="shared" si="15"/>
        <v>2.478789871752713</v>
      </c>
    </row>
    <row r="56" s="2" customFormat="1" ht="11.25">
      <c r="A56" s="5" t="s">
        <v>47</v>
      </c>
    </row>
    <row r="57" spans="1:8" s="2" customFormat="1" ht="11.25">
      <c r="A57" s="2" t="s">
        <v>48</v>
      </c>
      <c r="C57" s="9">
        <f>C40/C28</f>
        <v>0.04613208573604613</v>
      </c>
      <c r="D57" s="9">
        <f>(D40/0.75)/D28</f>
        <v>0.08758537565287264</v>
      </c>
      <c r="E57" s="9">
        <f>(E40/0.5)/E28</f>
        <v>0.08984412818278632</v>
      </c>
      <c r="F57" s="9">
        <f>((F40)/0.25)/F28</f>
        <v>0.1422094965402052</v>
      </c>
      <c r="G57" s="9">
        <f>G40/G28</f>
        <v>0.19102101728640716</v>
      </c>
      <c r="H57" s="9">
        <f>H40/H28</f>
        <v>-0.012380456187137396</v>
      </c>
    </row>
    <row r="58" spans="1:8" s="2" customFormat="1" ht="11.25">
      <c r="A58" s="2" t="s">
        <v>49</v>
      </c>
      <c r="C58" s="9">
        <f>C40/C27</f>
        <v>0.02108089295480535</v>
      </c>
      <c r="D58" s="9">
        <f>(D40/0.75)/D27</f>
        <v>0.03164235430727919</v>
      </c>
      <c r="E58" s="9">
        <f>(E40/0.5)/E27</f>
        <v>0.036047234307022995</v>
      </c>
      <c r="F58" s="9">
        <f>((F40)/0.25)/F27</f>
        <v>0.02970198345459982</v>
      </c>
      <c r="G58" s="9">
        <f>G40/G27</f>
        <v>0.04873251054919255</v>
      </c>
      <c r="H58" s="9">
        <f>H40/H27</f>
        <v>-0.00963335532102023</v>
      </c>
    </row>
    <row r="59" spans="1:8" s="2" customFormat="1" ht="11.25">
      <c r="A59" s="2" t="s">
        <v>50</v>
      </c>
      <c r="C59" s="9">
        <f>C40/C31</f>
        <v>0.04247858538295847</v>
      </c>
      <c r="D59" s="9">
        <f>(D40/0.75)/D31</f>
        <v>0.044096080910240205</v>
      </c>
      <c r="E59" s="9">
        <f>(E40/0.5)/E31</f>
        <v>0.049272592120632897</v>
      </c>
      <c r="F59" s="9">
        <f>((F40)/0.25)/F31</f>
        <v>0.06514373155536124</v>
      </c>
      <c r="G59" s="9">
        <f>G40/G31</f>
        <v>0.07716654107008289</v>
      </c>
      <c r="H59" s="9">
        <f>H40/H31</f>
        <v>-0.05026891358910004</v>
      </c>
    </row>
    <row r="60" spans="1:8" s="2" customFormat="1" ht="11.25">
      <c r="A60" s="2" t="s">
        <v>51</v>
      </c>
      <c r="C60" s="9">
        <f>C33/C27</f>
        <v>0.05543678218067916</v>
      </c>
      <c r="D60" s="9">
        <f>(D33/0.75)/D27</f>
        <v>0.07944456540145632</v>
      </c>
      <c r="E60" s="9">
        <f>(E33/0.5)/E27</f>
        <v>0.08856432566811684</v>
      </c>
      <c r="F60" s="9">
        <f>((F33)/0.25)/F27</f>
        <v>0.06279278381341573</v>
      </c>
      <c r="G60" s="9">
        <f>G33/G27</f>
        <v>0.04739998096386307</v>
      </c>
      <c r="H60" s="9">
        <f>H33/H27</f>
        <v>0.011722185576077397</v>
      </c>
    </row>
    <row r="61" spans="1:8" s="2" customFormat="1" ht="11.25">
      <c r="A61" s="2" t="s">
        <v>52</v>
      </c>
      <c r="C61" s="9">
        <f>C34/C27</f>
        <v>0.003977526972604783</v>
      </c>
      <c r="D61" s="9">
        <f>(D34/0.75)/D27</f>
        <v>0.005612405351138205</v>
      </c>
      <c r="E61" s="9">
        <f>(E34/0.5)/E27</f>
        <v>0.006215040397762586</v>
      </c>
      <c r="F61" s="9">
        <f>((F34)/0.25)/F27</f>
        <v>0.003986843416724808</v>
      </c>
      <c r="G61" s="9">
        <f>G34/G27</f>
        <v>0.006472286557314635</v>
      </c>
      <c r="H61" s="9">
        <f>H34/H27</f>
        <v>0.0014429419525065963</v>
      </c>
    </row>
    <row r="62" spans="1:8" s="2" customFormat="1" ht="11.25">
      <c r="A62" s="2" t="s">
        <v>53</v>
      </c>
      <c r="C62" s="9">
        <f>C35/C27</f>
        <v>0.05145925520807438</v>
      </c>
      <c r="D62" s="9">
        <f>(D35)/0.75/D27</f>
        <v>0.07383216005031812</v>
      </c>
      <c r="E62" s="9">
        <f>(E35/0.5)/E27</f>
        <v>0.08234928527035426</v>
      </c>
      <c r="F62" s="9">
        <f>((F35)/0.25)/F27</f>
        <v>0.05880594039669092</v>
      </c>
      <c r="G62" s="9">
        <f>G35/G27</f>
        <v>0.040927694406548434</v>
      </c>
      <c r="H62" s="9">
        <f>H35/H27</f>
        <v>0.0102792436235708</v>
      </c>
    </row>
    <row r="63" spans="1:8" s="2" customFormat="1" ht="11.25">
      <c r="A63" s="2" t="s">
        <v>54</v>
      </c>
      <c r="C63" s="9">
        <f>C38/C37</f>
        <v>0.7860020140986909</v>
      </c>
      <c r="D63" s="9">
        <f>(D38/0.75)/(D37/0.75)</f>
        <v>0.776718856364874</v>
      </c>
      <c r="E63" s="9">
        <f>(E38/0.5)/(E37/0.5)</f>
        <v>0.7660642570281124</v>
      </c>
      <c r="F63" s="9">
        <f>(F38/0.25)/(F37/0.25)</f>
        <v>0.7178030303030303</v>
      </c>
      <c r="G63" s="9">
        <f>G38/G37</f>
        <v>0.6737468139337298</v>
      </c>
      <c r="H63" s="9">
        <f>H38/H37</f>
        <v>1.841596130592503</v>
      </c>
    </row>
    <row r="64" spans="1:8" s="2" customFormat="1" ht="11.25">
      <c r="A64" s="3" t="s">
        <v>55</v>
      </c>
      <c r="B64" s="3"/>
      <c r="C64" s="11">
        <f>C36/C27</f>
        <v>0.04728285188683936</v>
      </c>
      <c r="D64" s="11">
        <f>(D36/0.75)/D27</f>
        <v>0.0683165203086823</v>
      </c>
      <c r="E64" s="11">
        <f>(E36/0.5)/E27</f>
        <v>0.07240522063393412</v>
      </c>
      <c r="F64" s="11">
        <f>(F36/0.25)/F27</f>
        <v>0.04644672580484401</v>
      </c>
      <c r="G64" s="11">
        <f>G36/G27</f>
        <v>0.10844252672990895</v>
      </c>
      <c r="H64" s="11">
        <f>H36/H27</f>
        <v>0.0010856420404573438</v>
      </c>
    </row>
    <row r="65" s="2" customFormat="1" ht="11.25">
      <c r="A65" s="5" t="s">
        <v>56</v>
      </c>
    </row>
    <row r="66" spans="1:8" s="2" customFormat="1" ht="11.25">
      <c r="A66" s="2" t="s">
        <v>57</v>
      </c>
      <c r="C66" s="7">
        <v>32</v>
      </c>
      <c r="D66" s="7">
        <v>31</v>
      </c>
      <c r="E66" s="7">
        <v>33</v>
      </c>
      <c r="F66" s="7">
        <v>33</v>
      </c>
      <c r="G66" s="7">
        <v>32</v>
      </c>
      <c r="H66" s="7">
        <v>31</v>
      </c>
    </row>
    <row r="67" spans="1:8" s="2" customFormat="1" ht="11.25">
      <c r="A67" s="2" t="s">
        <v>58</v>
      </c>
      <c r="C67" s="7">
        <v>1</v>
      </c>
      <c r="D67" s="7">
        <v>1</v>
      </c>
      <c r="E67" s="7">
        <v>1</v>
      </c>
      <c r="F67" s="7">
        <v>1</v>
      </c>
      <c r="G67" s="7">
        <v>1</v>
      </c>
      <c r="H67" s="7">
        <v>1</v>
      </c>
    </row>
    <row r="68" spans="1:8" s="2" customFormat="1" ht="11.25">
      <c r="A68" s="2" t="s">
        <v>59</v>
      </c>
      <c r="C68" s="7">
        <f aca="true" t="shared" si="16" ref="C68:H68">C13/C66</f>
        <v>126.03125</v>
      </c>
      <c r="D68" s="7">
        <f t="shared" si="16"/>
        <v>119.96774193548387</v>
      </c>
      <c r="E68" s="7">
        <f t="shared" si="16"/>
        <v>113.72727272727273</v>
      </c>
      <c r="F68" s="7">
        <f t="shared" si="16"/>
        <v>113.18181818181819</v>
      </c>
      <c r="G68" s="7">
        <f t="shared" si="16"/>
        <v>107.84375</v>
      </c>
      <c r="H68" s="7">
        <f t="shared" si="16"/>
        <v>144.38709677419354</v>
      </c>
    </row>
    <row r="69" spans="1:8" s="2" customFormat="1" ht="11.25">
      <c r="A69" s="2" t="s">
        <v>60</v>
      </c>
      <c r="C69" s="7">
        <f aca="true" t="shared" si="17" ref="C69:H69">C17/C66</f>
        <v>65.0625</v>
      </c>
      <c r="D69" s="7">
        <f t="shared" si="17"/>
        <v>79.48387096774194</v>
      </c>
      <c r="E69" s="7">
        <f t="shared" si="17"/>
        <v>72.24242424242425</v>
      </c>
      <c r="F69" s="7">
        <f t="shared" si="17"/>
        <v>63.03030303030303</v>
      </c>
      <c r="G69" s="7">
        <f t="shared" si="17"/>
        <v>73.25</v>
      </c>
      <c r="H69" s="7">
        <f t="shared" si="17"/>
        <v>98.09677419354838</v>
      </c>
    </row>
    <row r="70" spans="1:8" s="2" customFormat="1" ht="11.25">
      <c r="A70" s="3" t="s">
        <v>61</v>
      </c>
      <c r="B70" s="3"/>
      <c r="C70" s="8">
        <f aca="true" t="shared" si="18" ref="C70:H70">(C40/C66)</f>
        <v>13.25</v>
      </c>
      <c r="D70" s="8">
        <f t="shared" si="18"/>
        <v>10.548387096774194</v>
      </c>
      <c r="E70" s="8">
        <f t="shared" si="18"/>
        <v>7.03030303030303</v>
      </c>
      <c r="F70" s="8">
        <f t="shared" si="18"/>
        <v>4.515151515151516</v>
      </c>
      <c r="G70" s="8">
        <f t="shared" si="18"/>
        <v>24</v>
      </c>
      <c r="H70" s="8">
        <f t="shared" si="18"/>
        <v>-22.612903225806452</v>
      </c>
    </row>
    <row r="71" s="2" customFormat="1" ht="11.25">
      <c r="A71" s="5" t="s">
        <v>62</v>
      </c>
    </row>
    <row r="72" spans="1:8" s="2" customFormat="1" ht="11.25">
      <c r="A72" s="2" t="s">
        <v>63</v>
      </c>
      <c r="C72" s="9">
        <f>(C11/G11)-1</f>
        <v>0.24125250724314684</v>
      </c>
      <c r="D72" s="9">
        <f>(D11/13892)-1</f>
        <v>-0.016268355888281016</v>
      </c>
      <c r="E72" s="9">
        <f>(E11/12916)-1</f>
        <v>-0.006813254877671149</v>
      </c>
      <c r="F72" s="9">
        <f>(F11/22231)-1</f>
        <v>-0.19477306463946742</v>
      </c>
      <c r="G72" s="9">
        <f>(G11/H11)-1</f>
        <v>0.32252597450445797</v>
      </c>
      <c r="H72" s="9">
        <f>(H11/131965)-1</f>
        <v>-0.897162126321373</v>
      </c>
    </row>
    <row r="73" spans="1:8" s="2" customFormat="1" ht="11.25">
      <c r="A73" s="2" t="s">
        <v>64</v>
      </c>
      <c r="C73" s="9">
        <f>(C13/G13)-1</f>
        <v>0.16864676905244846</v>
      </c>
      <c r="D73" s="9">
        <f>D13/3323</f>
        <v>1.1191694252181763</v>
      </c>
      <c r="E73" s="9">
        <f>E13/3648-1</f>
        <v>0.028782894736842035</v>
      </c>
      <c r="F73" s="9">
        <f>F13/4532-1</f>
        <v>-0.1758605472197705</v>
      </c>
      <c r="G73" s="9">
        <f>(G13/H13)-1</f>
        <v>-0.2289991063449508</v>
      </c>
      <c r="H73" s="9">
        <f>H13/76960-1</f>
        <v>-0.9418399168399169</v>
      </c>
    </row>
    <row r="74" spans="2:8" s="2" customFormat="1" ht="11.25">
      <c r="B74" s="2" t="s">
        <v>13</v>
      </c>
      <c r="C74" s="9">
        <f>(C14/G14)-1</f>
        <v>0.16864676905244846</v>
      </c>
      <c r="D74" s="9">
        <f>(D14/3323)-1</f>
        <v>0.1191694252181763</v>
      </c>
      <c r="E74" s="9">
        <f>(E14/3648)-1</f>
        <v>0.028782894736842035</v>
      </c>
      <c r="F74" s="9">
        <f>(F14/4532)-1</f>
        <v>-0.1758605472197705</v>
      </c>
      <c r="G74" s="9">
        <f>(G14/H14)-1</f>
        <v>-0.2289991063449508</v>
      </c>
      <c r="H74" s="9">
        <f>(H14/4873)-1</f>
        <v>-0.0814693207469731</v>
      </c>
    </row>
    <row r="75" spans="2:8" s="2" customFormat="1" ht="11.25">
      <c r="B75" s="2" t="s">
        <v>14</v>
      </c>
      <c r="C75" s="9">
        <v>0</v>
      </c>
      <c r="D75" s="9">
        <v>0</v>
      </c>
      <c r="E75" s="9">
        <v>0</v>
      </c>
      <c r="F75" s="9">
        <f>(F15/72087)-1</f>
        <v>-1</v>
      </c>
      <c r="G75" s="9">
        <v>0</v>
      </c>
      <c r="H75" s="9">
        <f>(H15/72087)-1</f>
        <v>-1</v>
      </c>
    </row>
    <row r="76" spans="1:8" s="2" customFormat="1" ht="11.25">
      <c r="A76" s="2" t="s">
        <v>65</v>
      </c>
      <c r="C76" s="9">
        <f>(C17/G17)-1</f>
        <v>-0.11177474402730381</v>
      </c>
      <c r="D76" s="9">
        <f>D17/2396-1</f>
        <v>0.028380634390651194</v>
      </c>
      <c r="E76" s="9">
        <f>E17/2975-1</f>
        <v>-0.19865546218487395</v>
      </c>
      <c r="F76" s="9">
        <f>F17/13148-1</f>
        <v>-0.8418010343778521</v>
      </c>
      <c r="G76" s="9">
        <f>(G17/H17)-1</f>
        <v>-0.2292009207497534</v>
      </c>
      <c r="H76" s="9">
        <f>H17/88220-1</f>
        <v>-0.9655293584221265</v>
      </c>
    </row>
    <row r="77" spans="2:8" s="2" customFormat="1" ht="11.25">
      <c r="B77" s="2" t="s">
        <v>13</v>
      </c>
      <c r="C77" s="9">
        <f>(C18/G18)-1</f>
        <v>-0.11177474402730381</v>
      </c>
      <c r="D77" s="9">
        <f>(D18/2396)-1</f>
        <v>0.028380634390651194</v>
      </c>
      <c r="E77" s="9">
        <f>(E18/2975)-1</f>
        <v>-0.19865546218487395</v>
      </c>
      <c r="F77" s="9">
        <f>(F18/13148)-1</f>
        <v>-0.8418010343778521</v>
      </c>
      <c r="G77" s="9">
        <f>(G18/H18)-1</f>
        <v>-0.2292009207497534</v>
      </c>
      <c r="H77" s="9">
        <f>(H18/2207)-1</f>
        <v>0.37788853647485277</v>
      </c>
    </row>
    <row r="78" spans="2:8" s="2" customFormat="1" ht="11.25">
      <c r="B78" s="2" t="s">
        <v>14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f>H22/86013-1</f>
        <v>-1</v>
      </c>
    </row>
    <row r="79" spans="1:8" s="2" customFormat="1" ht="11.25">
      <c r="A79" s="2" t="s">
        <v>66</v>
      </c>
      <c r="C79" s="9">
        <f>(C25/G25)-1</f>
        <v>-0.0027013506753377214</v>
      </c>
      <c r="D79" s="9">
        <f>(D25/9905)-1</f>
        <v>-0.0035335689045936647</v>
      </c>
      <c r="E79" s="9">
        <f>(E25/34818)-1</f>
        <v>-0.7192256878625998</v>
      </c>
      <c r="F79" s="9">
        <f>(F25/8604)-1</f>
        <v>0.1266852626685262</v>
      </c>
      <c r="G79" s="9">
        <f>(G25/H25)-1</f>
        <v>0.008577194752775075</v>
      </c>
      <c r="H79" s="9">
        <f>(H25/17980)-1</f>
        <v>-0.44883203559510565</v>
      </c>
    </row>
    <row r="80" spans="1:8" s="2" customFormat="1" ht="11.25">
      <c r="A80" s="3" t="s">
        <v>67</v>
      </c>
      <c r="B80" s="3"/>
      <c r="C80" s="11">
        <f>(C40/G40)-1</f>
        <v>-0.44791666666666663</v>
      </c>
      <c r="D80" s="11">
        <f>(D40/-406)-1</f>
        <v>-1.8054187192118225</v>
      </c>
      <c r="E80" s="11">
        <f>(E40/-443)-1</f>
        <v>-1.5237020316027088</v>
      </c>
      <c r="F80" s="11">
        <f>(F40/-257)-1</f>
        <v>-1.5797665369649807</v>
      </c>
      <c r="G80" s="11">
        <f>(G40/H40)-1</f>
        <v>-2.0955777460770326</v>
      </c>
      <c r="H80" s="11">
        <f>(H40/4369)-1</f>
        <v>-1.160448615243763</v>
      </c>
    </row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2002-04-24T14:49:03Z</cp:lastPrinted>
  <dcterms:created xsi:type="dcterms:W3CDTF">2002-03-08T13:59:25Z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