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ABN Amro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<sst xmlns="http://schemas.openxmlformats.org/spreadsheetml/2006/main" count="80" uniqueCount="68">
  <si>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CUADRO No. 18-23     ABN A M R O BANK, N.V.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</si>
  <si>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</si>
  <si>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</si>
  <si>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</si>
  <si>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</si>
  <si>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</si>
  <si>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</si>
  <si>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</si>
  <si>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</si>
  <si>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</si>
  <si>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</si>
  <si>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</si>
  <si>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</si>
  <si>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</si>
  <si>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</si>
  <si>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</si>
  <si>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</si>
  <si>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</si>
  <si>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</si>
  <si>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</si>
  <si>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</si>
  <si>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</si>
  <si>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</si>
  <si>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</si>
  <si>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</si>
  <si>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</si>
  <si>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</si>
  <si>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</si>
  <si>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</si>
  <si>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</si>
  <si>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</si>
  <si>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</si>
  <si>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</si>
  <si>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</si>
  <si>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</si>
  <si>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</si>
  <si>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</si>
  <si>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</si>
  <si>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</si>
  <si>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</si>
  <si>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</si>
  <si>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Activos Generadores de Ingreso</t>
  </si>
  <si>
    <t>Patrimonio /Activos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</si>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</sst>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33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_(* #,##0.0000_);_(* \(#,##0.0000\);_(* &quot;-&quot;??_);_(@_)"/>
    <numFmt numFmtId="183" formatCode="0.00000"/>
    <numFmt numFmtId="184" formatCode="0.0000"/>
    <numFmt numFmtId="185" formatCode="0.000"/>
    <numFmt numFmtId="186" formatCode="0.0"/>
    <numFmt numFmtId="187" formatCode="_ * #,##0.000_ ;_ * \-#,##0.000_ ;_ * &quot;-&quot;??_ ;_ @_ "/>
    <numFmt numFmtId="188" formatCode="_ * #,##0.0000_ ;_ * \-#,##0.0000_ ;_ * &quot;-&quot;??_ ;_ @_ "/>
  </numFmts>
  <fonts count="4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9" fontId="2" fillId="0" borderId="0" xfId="15" applyNumberFormat="1" applyFont="1" applyAlignment="1">
      <alignment/>
    </xf>
    <xf numFmtId="179" fontId="3" fillId="0" borderId="0" xfId="15" applyNumberFormat="1" applyFont="1" applyAlignment="1">
      <alignment/>
    </xf>
    <xf numFmtId="179" fontId="3" fillId="0" borderId="1" xfId="15" applyNumberFormat="1" applyFont="1" applyBorder="1" applyAlignment="1">
      <alignment/>
    </xf>
    <xf numFmtId="10" fontId="3" fillId="0" borderId="0" xfId="19" applyNumberFormat="1" applyFont="1" applyAlignment="1">
      <alignment/>
    </xf>
    <xf numFmtId="0" fontId="3" fillId="0" borderId="0" xfId="0" applyFont="1" applyBorder="1" applyAlignment="1">
      <alignment/>
    </xf>
    <xf numFmtId="10" fontId="3" fillId="0" borderId="1" xfId="19" applyNumberFormat="1" applyFont="1" applyBorder="1" applyAlignment="1">
      <alignment/>
    </xf>
    <xf numFmtId="181" fontId="3" fillId="0" borderId="0" xfId="19" applyNumberFormat="1" applyFont="1" applyAlignment="1">
      <alignment/>
    </xf>
    <xf numFmtId="181" fontId="3" fillId="0" borderId="1" xfId="19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314325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 topLeftCell="A1">
      <pane xSplit="2" ySplit="8" topLeftCell="C7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5" sqref="D5"/>
    </sheetView>
  </sheetViews>
  <sheetFormatPr defaultColWidth="11.421875" defaultRowHeight="12.75"/>
  <cols>
    <col min="1" max="1" width="3.00390625" style="1" customWidth="1"/>
    <col min="2" max="2" width="34.140625" style="1" customWidth="1"/>
    <col min="3" max="3" width="11.421875" style="1" customWidth="1"/>
    <col min="4" max="4" width="8.140625" style="1" customWidth="1"/>
    <col min="5" max="5" width="8.421875" style="1" customWidth="1"/>
    <col min="6" max="6" width="9.421875" style="1" customWidth="1"/>
    <col min="7" max="8" width="11.00390625" style="1" customWidth="1"/>
    <col min="9" max="16384" width="11.421875" style="1" customWidth="1"/>
  </cols>
  <sheetData>
    <row r="1" spans="2:8" s="2" customFormat="1" ht="11.25">
      <c r="B1" s="14"/>
      <c r="C1" s="14"/>
      <c r="D1" s="14"/>
      <c r="E1" s="14"/>
      <c r="F1" s="14"/>
      <c r="G1" s="14"/>
      <c r="H1" s="14"/>
    </row>
    <row r="2" spans="2:8" s="2" customFormat="1" ht="11.25">
      <c r="B2" s="14"/>
      <c r="C2" s="14"/>
      <c r="D2" s="14"/>
      <c r="E2" s="14"/>
      <c r="F2" s="14" t="s">
        <v>0</v>
      </c>
      <c r="G2" s="14"/>
      <c r="H2" s="14"/>
    </row>
    <row r="3" spans="2:8" s="2" customFormat="1" ht="11.25">
      <c r="B3" s="15"/>
      <c r="C3" s="15"/>
      <c r="D3" s="15"/>
      <c r="E3" s="15"/>
      <c r="F3" s="14" t="s">
        <v>1</v>
      </c>
      <c r="G3" s="15"/>
      <c r="H3" s="15"/>
    </row>
    <row r="4" spans="1:8" s="2" customFormat="1" ht="11.25">
      <c r="A4" s="15"/>
      <c r="B4" s="15"/>
      <c r="C4" s="15"/>
      <c r="D4" s="15"/>
      <c r="E4" s="15"/>
      <c r="F4" s="15" t="s">
        <v>2</v>
      </c>
      <c r="G4" s="15"/>
      <c r="H4" s="15"/>
    </row>
    <row r="5" spans="1:8" s="2" customFormat="1" ht="11.25">
      <c r="A5" s="15"/>
      <c r="B5" s="15"/>
      <c r="C5" s="15"/>
      <c r="D5" s="15"/>
      <c r="E5" s="15"/>
      <c r="F5" s="15"/>
      <c r="G5" s="15"/>
      <c r="H5" s="15"/>
    </row>
    <row r="6" spans="1:8" s="2" customFormat="1" ht="11.25">
      <c r="A6" s="15"/>
      <c r="B6" s="15"/>
      <c r="C6" s="15"/>
      <c r="D6" s="15"/>
      <c r="E6" s="15"/>
      <c r="F6" s="15"/>
      <c r="G6" s="15"/>
      <c r="H6" s="15"/>
    </row>
    <row r="7" spans="1:8" s="2" customFormat="1" ht="11.25">
      <c r="A7" s="3"/>
      <c r="B7" s="3"/>
      <c r="C7" s="3"/>
      <c r="D7" s="3"/>
      <c r="E7" s="3"/>
      <c r="F7" s="3"/>
      <c r="G7" s="3"/>
      <c r="H7" s="3"/>
    </row>
    <row r="8" spans="1:8" s="2" customFormat="1" ht="11.25">
      <c r="A8" s="4"/>
      <c r="B8" s="4"/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</row>
    <row r="9" spans="1:8" s="2" customFormat="1" ht="11.25">
      <c r="A9" s="5" t="s">
        <v>9</v>
      </c>
      <c r="B9" s="5"/>
      <c r="C9" s="6"/>
      <c r="D9" s="6"/>
      <c r="E9" s="6"/>
      <c r="F9" s="6"/>
      <c r="G9" s="6"/>
      <c r="H9" s="6"/>
    </row>
    <row r="10" spans="1:8" s="2" customFormat="1" ht="11.25">
      <c r="A10" s="2" t="s">
        <v>10</v>
      </c>
      <c r="C10" s="7">
        <v>386062</v>
      </c>
      <c r="D10" s="7">
        <v>954067</v>
      </c>
      <c r="E10" s="7">
        <v>217117</v>
      </c>
      <c r="F10" s="7">
        <v>280132</v>
      </c>
      <c r="G10" s="7">
        <v>263569</v>
      </c>
      <c r="H10" s="7">
        <v>134124</v>
      </c>
    </row>
    <row r="11" spans="1:8" s="2" customFormat="1" ht="11.25">
      <c r="A11" s="2" t="s">
        <v>11</v>
      </c>
      <c r="C11" s="7">
        <v>282108</v>
      </c>
      <c r="D11" s="7">
        <v>811269</v>
      </c>
      <c r="E11" s="7">
        <v>55587</v>
      </c>
      <c r="F11" s="7">
        <v>114447</v>
      </c>
      <c r="G11" s="7">
        <v>93219</v>
      </c>
      <c r="H11" s="7">
        <v>54771</v>
      </c>
    </row>
    <row r="12" spans="1:8" s="2" customFormat="1" ht="11.25">
      <c r="A12" s="2" t="s">
        <v>12</v>
      </c>
      <c r="C12" s="7">
        <f aca="true" t="shared" si="0" ref="C12:H12">C13+C14</f>
        <v>91703</v>
      </c>
      <c r="D12" s="7">
        <f t="shared" si="0"/>
        <v>98735</v>
      </c>
      <c r="E12" s="7">
        <f t="shared" si="0"/>
        <v>101772</v>
      </c>
      <c r="F12" s="7">
        <f t="shared" si="0"/>
        <v>125790</v>
      </c>
      <c r="G12" s="7">
        <f t="shared" si="0"/>
        <v>118021</v>
      </c>
      <c r="H12" s="7">
        <f t="shared" si="0"/>
        <v>71635</v>
      </c>
    </row>
    <row r="13" spans="2:8" s="2" customFormat="1" ht="11.25">
      <c r="B13" s="2" t="s">
        <v>13</v>
      </c>
      <c r="C13" s="7">
        <v>73190</v>
      </c>
      <c r="D13" s="7">
        <v>81331</v>
      </c>
      <c r="E13" s="7">
        <v>83482</v>
      </c>
      <c r="F13" s="7">
        <v>93153</v>
      </c>
      <c r="G13" s="7">
        <v>76041</v>
      </c>
      <c r="H13" s="7">
        <v>62259</v>
      </c>
    </row>
    <row r="14" spans="2:8" s="2" customFormat="1" ht="11.25">
      <c r="B14" s="2" t="s">
        <v>14</v>
      </c>
      <c r="C14" s="7">
        <v>18513</v>
      </c>
      <c r="D14" s="7">
        <v>17404</v>
      </c>
      <c r="E14" s="7">
        <v>18290</v>
      </c>
      <c r="F14" s="7">
        <v>32637</v>
      </c>
      <c r="G14" s="7">
        <v>41980</v>
      </c>
      <c r="H14" s="7">
        <v>9376</v>
      </c>
    </row>
    <row r="15" spans="1:8" s="2" customFormat="1" ht="11.25">
      <c r="A15" s="2" t="s">
        <v>15</v>
      </c>
      <c r="C15" s="7">
        <v>1924</v>
      </c>
      <c r="D15" s="7">
        <v>25262</v>
      </c>
      <c r="E15" s="7">
        <v>46233</v>
      </c>
      <c r="F15" s="7">
        <v>27624</v>
      </c>
      <c r="G15" s="7">
        <v>35875</v>
      </c>
      <c r="H15" s="7">
        <v>100</v>
      </c>
    </row>
    <row r="16" spans="1:8" s="2" customFormat="1" ht="11.25">
      <c r="A16" s="2" t="s">
        <v>16</v>
      </c>
      <c r="C16" s="7">
        <f aca="true" t="shared" si="1" ref="C16:H16">C17+C21</f>
        <v>362485</v>
      </c>
      <c r="D16" s="7">
        <f t="shared" si="1"/>
        <v>925021</v>
      </c>
      <c r="E16" s="7">
        <f t="shared" si="1"/>
        <v>193597</v>
      </c>
      <c r="F16" s="7">
        <f t="shared" si="1"/>
        <v>255500</v>
      </c>
      <c r="G16" s="7">
        <f t="shared" si="1"/>
        <v>238200</v>
      </c>
      <c r="H16" s="7">
        <f t="shared" si="1"/>
        <v>123557</v>
      </c>
    </row>
    <row r="17" spans="2:8" s="2" customFormat="1" ht="11.25">
      <c r="B17" s="2" t="s">
        <v>13</v>
      </c>
      <c r="C17" s="7">
        <f aca="true" t="shared" si="2" ref="C17:H17">SUM(C18:C20)</f>
        <v>61568</v>
      </c>
      <c r="D17" s="7">
        <f t="shared" si="2"/>
        <v>73817</v>
      </c>
      <c r="E17" s="7">
        <f t="shared" si="2"/>
        <v>78557</v>
      </c>
      <c r="F17" s="7">
        <f t="shared" si="2"/>
        <v>104231</v>
      </c>
      <c r="G17" s="7">
        <f t="shared" si="2"/>
        <v>126103</v>
      </c>
      <c r="H17" s="7">
        <f t="shared" si="2"/>
        <v>77216</v>
      </c>
    </row>
    <row r="18" spans="2:8" s="2" customFormat="1" ht="11.25">
      <c r="B18" s="2" t="s">
        <v>17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</row>
    <row r="19" spans="2:8" s="2" customFormat="1" ht="11.25">
      <c r="B19" s="2" t="s">
        <v>18</v>
      </c>
      <c r="C19" s="7">
        <v>29908</v>
      </c>
      <c r="D19" s="7">
        <v>36265</v>
      </c>
      <c r="E19" s="7">
        <v>35616</v>
      </c>
      <c r="F19" s="7">
        <v>35401</v>
      </c>
      <c r="G19" s="7">
        <v>40952</v>
      </c>
      <c r="H19" s="7">
        <v>47268</v>
      </c>
    </row>
    <row r="20" spans="2:8" s="2" customFormat="1" ht="11.25">
      <c r="B20" s="2" t="s">
        <v>19</v>
      </c>
      <c r="C20" s="7">
        <v>31660</v>
      </c>
      <c r="D20" s="7">
        <v>37552</v>
      </c>
      <c r="E20" s="7">
        <v>42941</v>
      </c>
      <c r="F20" s="7">
        <v>68830</v>
      </c>
      <c r="G20" s="7">
        <v>85151</v>
      </c>
      <c r="H20" s="7">
        <v>29948</v>
      </c>
    </row>
    <row r="21" spans="2:8" s="2" customFormat="1" ht="11.25">
      <c r="B21" s="2" t="s">
        <v>14</v>
      </c>
      <c r="C21" s="7">
        <f aca="true" t="shared" si="3" ref="C21:H21">SUM(C22:C23)</f>
        <v>300917</v>
      </c>
      <c r="D21" s="7">
        <f t="shared" si="3"/>
        <v>851204</v>
      </c>
      <c r="E21" s="7">
        <f t="shared" si="3"/>
        <v>115040</v>
      </c>
      <c r="F21" s="7">
        <f t="shared" si="3"/>
        <v>151269</v>
      </c>
      <c r="G21" s="7">
        <f t="shared" si="3"/>
        <v>112097</v>
      </c>
      <c r="H21" s="7">
        <f t="shared" si="3"/>
        <v>46341</v>
      </c>
    </row>
    <row r="22" spans="2:8" s="2" customFormat="1" ht="11.25">
      <c r="B22" s="2" t="s">
        <v>18</v>
      </c>
      <c r="C22" s="7">
        <v>90295</v>
      </c>
      <c r="D22" s="7">
        <v>850992</v>
      </c>
      <c r="E22" s="7">
        <v>100145</v>
      </c>
      <c r="F22" s="7">
        <v>99443</v>
      </c>
      <c r="G22" s="7">
        <v>65125</v>
      </c>
      <c r="H22" s="7">
        <v>36262</v>
      </c>
    </row>
    <row r="23" spans="2:8" s="2" customFormat="1" ht="11.25">
      <c r="B23" s="2" t="s">
        <v>19</v>
      </c>
      <c r="C23" s="7">
        <v>210622</v>
      </c>
      <c r="D23" s="7">
        <v>212</v>
      </c>
      <c r="E23" s="7">
        <v>14895</v>
      </c>
      <c r="F23" s="7">
        <v>51826</v>
      </c>
      <c r="G23" s="7">
        <v>46972</v>
      </c>
      <c r="H23" s="7">
        <v>10079</v>
      </c>
    </row>
    <row r="24" spans="1:8" s="2" customFormat="1" ht="11.25">
      <c r="A24" s="3" t="s">
        <v>20</v>
      </c>
      <c r="B24" s="3"/>
      <c r="C24" s="8">
        <v>10570</v>
      </c>
      <c r="D24" s="8">
        <v>7156</v>
      </c>
      <c r="E24" s="8">
        <v>6376</v>
      </c>
      <c r="F24" s="8">
        <v>5156</v>
      </c>
      <c r="G24" s="8">
        <v>4262</v>
      </c>
      <c r="H24" s="8">
        <v>4091</v>
      </c>
    </row>
    <row r="25" spans="1:8" s="2" customFormat="1" ht="11.25">
      <c r="A25" s="5" t="s">
        <v>21</v>
      </c>
      <c r="C25" s="7"/>
      <c r="D25" s="7"/>
      <c r="E25" s="7"/>
      <c r="F25" s="7"/>
      <c r="G25" s="7"/>
      <c r="H25" s="7"/>
    </row>
    <row r="26" spans="1:8" s="2" customFormat="1" ht="11.25">
      <c r="A26" s="2" t="s">
        <v>10</v>
      </c>
      <c r="C26" s="7">
        <f>(C10+G10)/2</f>
        <v>324815.5</v>
      </c>
      <c r="D26" s="7">
        <f>(D10+256502)/2</f>
        <v>605284.5</v>
      </c>
      <c r="E26" s="7">
        <f>(E10+218490)/2</f>
        <v>217803.5</v>
      </c>
      <c r="F26" s="7">
        <f>(F10+174167)/2</f>
        <v>227149.5</v>
      </c>
      <c r="G26" s="7">
        <f>(G10+H10)/2</f>
        <v>198846.5</v>
      </c>
      <c r="H26" s="7">
        <f>(H10+104352)/2</f>
        <v>119238</v>
      </c>
    </row>
    <row r="27" spans="1:8" s="2" customFormat="1" ht="11.25">
      <c r="A27" s="2" t="s">
        <v>22</v>
      </c>
      <c r="C27" s="7">
        <f aca="true" t="shared" si="4" ref="C27:H27">C28+C29</f>
        <v>123761.5</v>
      </c>
      <c r="D27" s="7">
        <f t="shared" si="4"/>
        <v>123924.5</v>
      </c>
      <c r="E27" s="7">
        <f t="shared" si="4"/>
        <v>131810.5</v>
      </c>
      <c r="F27" s="7">
        <f t="shared" si="4"/>
        <v>117016.5</v>
      </c>
      <c r="G27" s="7">
        <f t="shared" si="4"/>
        <v>112815.5</v>
      </c>
      <c r="H27" s="7">
        <f t="shared" si="4"/>
        <v>74975.5</v>
      </c>
    </row>
    <row r="28" spans="2:8" s="2" customFormat="1" ht="11.25">
      <c r="B28" s="2" t="s">
        <v>12</v>
      </c>
      <c r="C28" s="7">
        <f>(C12+G12)/2</f>
        <v>104862</v>
      </c>
      <c r="D28" s="7">
        <f>(D12+104649)/2</f>
        <v>101692</v>
      </c>
      <c r="E28" s="7">
        <f>(E12+110803)/2</f>
        <v>106287.5</v>
      </c>
      <c r="F28" s="7">
        <f>(F12+75806)/2</f>
        <v>100798</v>
      </c>
      <c r="G28" s="7">
        <f>(G12+H12)/2</f>
        <v>94828</v>
      </c>
      <c r="H28" s="7">
        <f>(H12+76716)/2</f>
        <v>74175.5</v>
      </c>
    </row>
    <row r="29" spans="2:8" s="2" customFormat="1" ht="11.25">
      <c r="B29" s="2" t="s">
        <v>15</v>
      </c>
      <c r="C29" s="7">
        <f>(C15+G15)/2</f>
        <v>18899.5</v>
      </c>
      <c r="D29" s="7">
        <f>(D15+19203)/2</f>
        <v>22232.5</v>
      </c>
      <c r="E29" s="7">
        <f>(E15+4813)/2</f>
        <v>25523</v>
      </c>
      <c r="F29" s="7">
        <f>(F15+4813)/2</f>
        <v>16218.5</v>
      </c>
      <c r="G29" s="7">
        <f>(G15+H15)/2</f>
        <v>17987.5</v>
      </c>
      <c r="H29" s="7">
        <f>(H15+1500)/2</f>
        <v>800</v>
      </c>
    </row>
    <row r="30" spans="1:8" s="2" customFormat="1" ht="11.25">
      <c r="A30" s="3" t="s">
        <v>20</v>
      </c>
      <c r="B30" s="3"/>
      <c r="C30" s="8">
        <f>(C24+G24)/2</f>
        <v>7416</v>
      </c>
      <c r="D30" s="8">
        <f>(D24+4669)/2</f>
        <v>5912.5</v>
      </c>
      <c r="E30" s="8">
        <f>(E24+4244)/2</f>
        <v>5310</v>
      </c>
      <c r="F30" s="8">
        <f>(F24+4008)/2</f>
        <v>4582</v>
      </c>
      <c r="G30" s="8">
        <f>(G24+H24)/2</f>
        <v>4176.5</v>
      </c>
      <c r="H30" s="8">
        <f>(H24+3564)/2</f>
        <v>3827.5</v>
      </c>
    </row>
    <row r="31" s="2" customFormat="1" ht="11.25">
      <c r="A31" s="5" t="s">
        <v>23</v>
      </c>
    </row>
    <row r="32" spans="1:8" s="2" customFormat="1" ht="11.25">
      <c r="A32" s="2" t="s">
        <v>24</v>
      </c>
      <c r="C32" s="7">
        <f>14391+D32</f>
        <v>34230</v>
      </c>
      <c r="D32" s="7">
        <f>10058+E32</f>
        <v>19839</v>
      </c>
      <c r="E32" s="7">
        <f>4598+F32</f>
        <v>9781</v>
      </c>
      <c r="F32" s="7">
        <v>5183</v>
      </c>
      <c r="G32" s="7">
        <v>13801</v>
      </c>
      <c r="H32" s="7">
        <v>8061</v>
      </c>
    </row>
    <row r="33" spans="1:8" s="2" customFormat="1" ht="11.25">
      <c r="A33" s="2" t="s">
        <v>25</v>
      </c>
      <c r="C33" s="7">
        <f>13226+D33</f>
        <v>28422</v>
      </c>
      <c r="D33" s="7">
        <f>8456+E33</f>
        <v>15196</v>
      </c>
      <c r="E33" s="7">
        <f>3259+F33</f>
        <v>6740</v>
      </c>
      <c r="F33" s="7">
        <v>3481</v>
      </c>
      <c r="G33" s="7">
        <v>9365</v>
      </c>
      <c r="H33" s="7">
        <v>5040</v>
      </c>
    </row>
    <row r="34" spans="1:8" s="2" customFormat="1" ht="11.25">
      <c r="A34" s="2" t="s">
        <v>26</v>
      </c>
      <c r="C34" s="7">
        <f aca="true" t="shared" si="5" ref="C34:H34">C32-C33</f>
        <v>5808</v>
      </c>
      <c r="D34" s="7">
        <f t="shared" si="5"/>
        <v>4643</v>
      </c>
      <c r="E34" s="7">
        <f t="shared" si="5"/>
        <v>3041</v>
      </c>
      <c r="F34" s="7">
        <f t="shared" si="5"/>
        <v>1702</v>
      </c>
      <c r="G34" s="7">
        <f t="shared" si="5"/>
        <v>4436</v>
      </c>
      <c r="H34" s="7">
        <f t="shared" si="5"/>
        <v>3021</v>
      </c>
    </row>
    <row r="35" spans="1:8" s="2" customFormat="1" ht="11.25">
      <c r="A35" s="2" t="s">
        <v>27</v>
      </c>
      <c r="C35" s="7">
        <f>3909+D35</f>
        <v>6175</v>
      </c>
      <c r="D35" s="7">
        <f>676+E35</f>
        <v>2266</v>
      </c>
      <c r="E35" s="7">
        <f>850+F35</f>
        <v>1590</v>
      </c>
      <c r="F35" s="7">
        <v>740</v>
      </c>
      <c r="G35" s="7">
        <v>1718</v>
      </c>
      <c r="H35" s="7">
        <v>1682</v>
      </c>
    </row>
    <row r="36" spans="1:8" s="2" customFormat="1" ht="11.25">
      <c r="A36" s="2" t="s">
        <v>28</v>
      </c>
      <c r="C36" s="7">
        <f aca="true" t="shared" si="6" ref="C36:H36">C34+C35</f>
        <v>11983</v>
      </c>
      <c r="D36" s="7">
        <f t="shared" si="6"/>
        <v>6909</v>
      </c>
      <c r="E36" s="7">
        <f t="shared" si="6"/>
        <v>4631</v>
      </c>
      <c r="F36" s="7">
        <f t="shared" si="6"/>
        <v>2442</v>
      </c>
      <c r="G36" s="7">
        <f t="shared" si="6"/>
        <v>6154</v>
      </c>
      <c r="H36" s="7">
        <f t="shared" si="6"/>
        <v>4703</v>
      </c>
    </row>
    <row r="37" spans="1:8" s="2" customFormat="1" ht="11.25">
      <c r="A37" s="2" t="s">
        <v>29</v>
      </c>
      <c r="C37" s="7">
        <f>1054+D37</f>
        <v>5258</v>
      </c>
      <c r="D37" s="7">
        <f>1352+E37</f>
        <v>4204</v>
      </c>
      <c r="E37" s="7">
        <f>1304+F37</f>
        <v>2852</v>
      </c>
      <c r="F37" s="7">
        <v>1548</v>
      </c>
      <c r="G37" s="7">
        <v>5982</v>
      </c>
      <c r="H37" s="7">
        <v>4176</v>
      </c>
    </row>
    <row r="38" spans="1:8" s="2" customFormat="1" ht="11.25">
      <c r="A38" s="2" t="s">
        <v>30</v>
      </c>
      <c r="C38" s="7">
        <f aca="true" t="shared" si="7" ref="C38:H38">C36-C37</f>
        <v>6725</v>
      </c>
      <c r="D38" s="7">
        <f t="shared" si="7"/>
        <v>2705</v>
      </c>
      <c r="E38" s="7">
        <f t="shared" si="7"/>
        <v>1779</v>
      </c>
      <c r="F38" s="7">
        <f t="shared" si="7"/>
        <v>894</v>
      </c>
      <c r="G38" s="7">
        <f t="shared" si="7"/>
        <v>172</v>
      </c>
      <c r="H38" s="7">
        <f t="shared" si="7"/>
        <v>527</v>
      </c>
    </row>
    <row r="39" spans="1:8" s="2" customFormat="1" ht="11.25">
      <c r="A39" s="3" t="s">
        <v>31</v>
      </c>
      <c r="B39" s="3"/>
      <c r="C39" s="8">
        <f>3412+D39</f>
        <v>5967</v>
      </c>
      <c r="D39" s="8">
        <f>776+E39</f>
        <v>2555</v>
      </c>
      <c r="E39" s="8">
        <f>885+F39</f>
        <v>1779</v>
      </c>
      <c r="F39" s="8">
        <v>894</v>
      </c>
      <c r="G39" s="8">
        <v>172</v>
      </c>
      <c r="H39" s="8">
        <v>527</v>
      </c>
    </row>
    <row r="40" spans="1:8" s="2" customFormat="1" ht="11.25">
      <c r="A40" s="5" t="s">
        <v>32</v>
      </c>
      <c r="C40" s="7"/>
      <c r="D40" s="7"/>
      <c r="E40" s="7"/>
      <c r="F40" s="7"/>
      <c r="G40" s="7"/>
      <c r="H40" s="7"/>
    </row>
    <row r="41" spans="1:8" s="2" customFormat="1" ht="11.25">
      <c r="A41" s="2" t="s">
        <v>33</v>
      </c>
      <c r="C41" s="7">
        <v>420</v>
      </c>
      <c r="D41" s="7">
        <v>358</v>
      </c>
      <c r="E41" s="7">
        <v>451</v>
      </c>
      <c r="F41" s="7">
        <v>387</v>
      </c>
      <c r="G41" s="7">
        <v>203</v>
      </c>
      <c r="H41" s="7">
        <v>0</v>
      </c>
    </row>
    <row r="42" spans="1:8" s="2" customFormat="1" ht="11.25">
      <c r="A42" s="2" t="s">
        <v>34</v>
      </c>
      <c r="C42" s="7">
        <v>35</v>
      </c>
      <c r="D42" s="7">
        <v>35</v>
      </c>
      <c r="E42" s="7">
        <v>35</v>
      </c>
      <c r="F42" s="7">
        <v>35</v>
      </c>
      <c r="G42" s="7">
        <v>228</v>
      </c>
      <c r="H42" s="7">
        <v>407</v>
      </c>
    </row>
    <row r="43" spans="1:8" s="2" customFormat="1" ht="11.25">
      <c r="A43" s="2" t="s">
        <v>35</v>
      </c>
      <c r="C43" s="9">
        <f aca="true" t="shared" si="8" ref="C43:H43">C41/C12</f>
        <v>0.00458000283523985</v>
      </c>
      <c r="D43" s="9">
        <f t="shared" si="8"/>
        <v>0.0036258672203372663</v>
      </c>
      <c r="E43" s="9">
        <f t="shared" si="8"/>
        <v>0.004431474275832252</v>
      </c>
      <c r="F43" s="9">
        <f t="shared" si="8"/>
        <v>0.0030765561650369666</v>
      </c>
      <c r="G43" s="9">
        <f t="shared" si="8"/>
        <v>0.0017200328755052068</v>
      </c>
      <c r="H43" s="9">
        <f t="shared" si="8"/>
        <v>0</v>
      </c>
    </row>
    <row r="44" spans="1:8" s="2" customFormat="1" ht="11.25">
      <c r="A44" s="2" t="s">
        <v>36</v>
      </c>
      <c r="C44" s="9">
        <f aca="true" t="shared" si="9" ref="C44:H44">(C42)/C12</f>
        <v>0.0003816669029366542</v>
      </c>
      <c r="D44" s="9">
        <f t="shared" si="9"/>
        <v>0.0003544842254519674</v>
      </c>
      <c r="E44" s="9">
        <f t="shared" si="9"/>
        <v>0.00034390598592933224</v>
      </c>
      <c r="F44" s="9">
        <f t="shared" si="9"/>
        <v>0.0002782415136338342</v>
      </c>
      <c r="G44" s="9">
        <f t="shared" si="9"/>
        <v>0.0019318595843112667</v>
      </c>
      <c r="H44" s="9">
        <f t="shared" si="9"/>
        <v>0.005681580233126265</v>
      </c>
    </row>
    <row r="45" spans="1:8" s="2" customFormat="1" ht="11.25">
      <c r="A45" s="10" t="s">
        <v>37</v>
      </c>
      <c r="C45" s="9">
        <f aca="true" t="shared" si="10" ref="C45:H45">(C41+C42)/C12</f>
        <v>0.0049616697381765044</v>
      </c>
      <c r="D45" s="9">
        <f t="shared" si="10"/>
        <v>0.003980351445789234</v>
      </c>
      <c r="E45" s="9">
        <f t="shared" si="10"/>
        <v>0.004775380261761585</v>
      </c>
      <c r="F45" s="9">
        <f t="shared" si="10"/>
        <v>0.0033547976786708006</v>
      </c>
      <c r="G45" s="9">
        <f t="shared" si="10"/>
        <v>0.0036518924598164734</v>
      </c>
      <c r="H45" s="9">
        <f t="shared" si="10"/>
        <v>0.005681580233126265</v>
      </c>
    </row>
    <row r="46" spans="1:8" s="2" customFormat="1" ht="11.25">
      <c r="A46" s="2" t="s">
        <v>38</v>
      </c>
      <c r="C46" s="9">
        <v>0.0079</v>
      </c>
      <c r="D46" s="9">
        <v>0.0444</v>
      </c>
      <c r="E46" s="9">
        <v>0.0416</v>
      </c>
      <c r="F46" s="9">
        <v>0.0336</v>
      </c>
      <c r="G46" s="9">
        <v>0.0358</v>
      </c>
      <c r="H46" s="9">
        <f>(310/H12)</f>
        <v>0.004327493543658826</v>
      </c>
    </row>
    <row r="47" spans="1:8" s="2" customFormat="1" ht="11.25">
      <c r="A47" s="3" t="s">
        <v>39</v>
      </c>
      <c r="B47" s="3"/>
      <c r="C47" s="11">
        <v>1.5893</v>
      </c>
      <c r="D47" s="11">
        <v>11.1546</v>
      </c>
      <c r="E47" s="11">
        <v>10.018</v>
      </c>
      <c r="F47" s="11">
        <v>9.8014</v>
      </c>
      <c r="G47" s="11">
        <v>0.7618</v>
      </c>
      <c r="H47" s="11">
        <f>310/H42</f>
        <v>0.7616707616707616</v>
      </c>
    </row>
    <row r="48" s="2" customFormat="1" ht="11.25">
      <c r="A48" s="5" t="s">
        <v>40</v>
      </c>
    </row>
    <row r="49" spans="1:8" s="2" customFormat="1" ht="11.25">
      <c r="A49" s="2" t="s">
        <v>41</v>
      </c>
      <c r="C49" s="9">
        <f aca="true" t="shared" si="11" ref="C49:H49">C24/(C12+C15)</f>
        <v>0.11289478462409348</v>
      </c>
      <c r="D49" s="9">
        <f t="shared" si="11"/>
        <v>0.057711073655007786</v>
      </c>
      <c r="E49" s="9">
        <f t="shared" si="11"/>
        <v>0.04307962568832134</v>
      </c>
      <c r="F49" s="9">
        <f t="shared" si="11"/>
        <v>0.03360840601248908</v>
      </c>
      <c r="G49" s="9">
        <f t="shared" si="11"/>
        <v>0.02769402713520819</v>
      </c>
      <c r="H49" s="9">
        <f t="shared" si="11"/>
        <v>0.057029344113752004</v>
      </c>
    </row>
    <row r="50" spans="1:8" s="2" customFormat="1" ht="11.25">
      <c r="A50" s="3" t="s">
        <v>42</v>
      </c>
      <c r="B50" s="3"/>
      <c r="C50" s="11">
        <f aca="true" t="shared" si="12" ref="C50:H50">C24/C10</f>
        <v>0.027379022022369463</v>
      </c>
      <c r="D50" s="11">
        <f t="shared" si="12"/>
        <v>0.007500521451847721</v>
      </c>
      <c r="E50" s="11">
        <f t="shared" si="12"/>
        <v>0.029366654845083526</v>
      </c>
      <c r="F50" s="11">
        <f t="shared" si="12"/>
        <v>0.0184056087844302</v>
      </c>
      <c r="G50" s="11">
        <f t="shared" si="12"/>
        <v>0.01617033869688772</v>
      </c>
      <c r="H50" s="11">
        <f t="shared" si="12"/>
        <v>0.030501625361605677</v>
      </c>
    </row>
    <row r="51" spans="1:8" s="2" customFormat="1" ht="11.25">
      <c r="A51" s="5" t="s">
        <v>43</v>
      </c>
      <c r="C51" s="12"/>
      <c r="D51" s="12"/>
      <c r="E51" s="12"/>
      <c r="F51" s="12"/>
      <c r="G51" s="12"/>
      <c r="H51" s="12"/>
    </row>
    <row r="52" spans="1:8" s="2" customFormat="1" ht="11.25">
      <c r="A52" s="2" t="s">
        <v>44</v>
      </c>
      <c r="C52" s="12">
        <f aca="true" t="shared" si="13" ref="C52:H52">C11/C16</f>
        <v>0.7782611694277004</v>
      </c>
      <c r="D52" s="12">
        <f t="shared" si="13"/>
        <v>0.8770276566694162</v>
      </c>
      <c r="E52" s="12">
        <f t="shared" si="13"/>
        <v>0.2871273831722599</v>
      </c>
      <c r="F52" s="12">
        <f t="shared" si="13"/>
        <v>0.44793346379647747</v>
      </c>
      <c r="G52" s="12">
        <f t="shared" si="13"/>
        <v>0.39134760705289673</v>
      </c>
      <c r="H52" s="12">
        <f t="shared" si="13"/>
        <v>0.4432852853338945</v>
      </c>
    </row>
    <row r="53" spans="1:8" s="2" customFormat="1" ht="11.25">
      <c r="A53" s="2" t="s">
        <v>45</v>
      </c>
      <c r="C53" s="12">
        <f aca="true" t="shared" si="14" ref="C53:H53">C11/C10</f>
        <v>0.7307323694121669</v>
      </c>
      <c r="D53" s="12">
        <f t="shared" si="14"/>
        <v>0.8503270734654904</v>
      </c>
      <c r="E53" s="12">
        <f t="shared" si="14"/>
        <v>0.2560232501370229</v>
      </c>
      <c r="F53" s="12">
        <f t="shared" si="14"/>
        <v>0.40854668513415104</v>
      </c>
      <c r="G53" s="12">
        <f t="shared" si="14"/>
        <v>0.3536796816014023</v>
      </c>
      <c r="H53" s="12">
        <f t="shared" si="14"/>
        <v>0.40836091974590677</v>
      </c>
    </row>
    <row r="54" spans="1:8" s="2" customFormat="1" ht="11.25">
      <c r="A54" s="3" t="s">
        <v>46</v>
      </c>
      <c r="B54" s="3"/>
      <c r="C54" s="13">
        <f aca="true" t="shared" si="15" ref="C54:H54">(C11+C15)/C16</f>
        <v>0.7835689752679421</v>
      </c>
      <c r="D54" s="13">
        <f t="shared" si="15"/>
        <v>0.9043373069368155</v>
      </c>
      <c r="E54" s="13">
        <f t="shared" si="15"/>
        <v>0.5259379019302985</v>
      </c>
      <c r="F54" s="13">
        <f t="shared" si="15"/>
        <v>0.5560508806262231</v>
      </c>
      <c r="G54" s="13">
        <f t="shared" si="15"/>
        <v>0.5419563392107473</v>
      </c>
      <c r="H54" s="13">
        <f t="shared" si="15"/>
        <v>0.44409462839013575</v>
      </c>
    </row>
    <row r="55" s="2" customFormat="1" ht="11.25">
      <c r="A55" s="5" t="s">
        <v>47</v>
      </c>
    </row>
    <row r="56" spans="1:8" s="2" customFormat="1" ht="11.25">
      <c r="A56" s="2" t="s">
        <v>48</v>
      </c>
      <c r="C56" s="9">
        <f>C39/C27</f>
        <v>0.04821370135300558</v>
      </c>
      <c r="D56" s="9">
        <f>(D39/0.75)/D27</f>
        <v>0.027489856054829082</v>
      </c>
      <c r="E56" s="9">
        <f>(E39/0.5)/E27</f>
        <v>0.026993297195595192</v>
      </c>
      <c r="F56" s="9">
        <f>((F39)/0.25)/F27</f>
        <v>0.03055979284972632</v>
      </c>
      <c r="G56" s="9">
        <f>G39/G27</f>
        <v>0.0015246131958817715</v>
      </c>
      <c r="H56" s="9">
        <f>H39/H27</f>
        <v>0.0070289627945128745</v>
      </c>
    </row>
    <row r="57" spans="1:8" s="2" customFormat="1" ht="11.25">
      <c r="A57" s="2" t="s">
        <v>49</v>
      </c>
      <c r="C57" s="9">
        <f>C39/C26</f>
        <v>0.018370428751091003</v>
      </c>
      <c r="D57" s="9">
        <f>(D39/0.75)/D26</f>
        <v>0.00562820734161649</v>
      </c>
      <c r="E57" s="9">
        <f>(E39/0.5)/E26</f>
        <v>0.016335825641002097</v>
      </c>
      <c r="F57" s="9">
        <f>((F39)/0.25)/F26</f>
        <v>0.015742935819801497</v>
      </c>
      <c r="G57" s="9">
        <f>G39/G26</f>
        <v>0.0008649888230368651</v>
      </c>
      <c r="H57" s="9">
        <f>H39/H26</f>
        <v>0.0044197319646421445</v>
      </c>
    </row>
    <row r="58" spans="1:8" s="2" customFormat="1" ht="11.25">
      <c r="A58" s="2" t="s">
        <v>50</v>
      </c>
      <c r="C58" s="9">
        <f>C39/C30</f>
        <v>0.8046116504854369</v>
      </c>
      <c r="D58" s="9">
        <f>(D39/0.75)/D30</f>
        <v>0.5761804087385483</v>
      </c>
      <c r="E58" s="9">
        <f>(E39/0.5)/E30</f>
        <v>0.6700564971751413</v>
      </c>
      <c r="F58" s="9">
        <f>((F39)/0.25)/F30</f>
        <v>0.7804452204277608</v>
      </c>
      <c r="G58" s="9">
        <f>G39/G30</f>
        <v>0.04118280857177062</v>
      </c>
      <c r="H58" s="9">
        <f>H39/H30</f>
        <v>0.13768778576094057</v>
      </c>
    </row>
    <row r="59" spans="1:8" s="2" customFormat="1" ht="11.25">
      <c r="A59" s="2" t="s">
        <v>51</v>
      </c>
      <c r="C59" s="9">
        <f>C32/C26</f>
        <v>0.10538290198589662</v>
      </c>
      <c r="D59" s="9">
        <f>(D32/0.75)/D26</f>
        <v>0.043701763385647574</v>
      </c>
      <c r="E59" s="9">
        <f>(E32/0.5)/E26</f>
        <v>0.08981490196438532</v>
      </c>
      <c r="F59" s="9">
        <f>((F32)/0.25)/F26</f>
        <v>0.09127028674947557</v>
      </c>
      <c r="G59" s="9">
        <f>G32/G26</f>
        <v>0.06940529503913823</v>
      </c>
      <c r="H59" s="9">
        <f>H32/H26</f>
        <v>0.06760428722387159</v>
      </c>
    </row>
    <row r="60" spans="1:8" s="2" customFormat="1" ht="11.25">
      <c r="A60" s="2" t="s">
        <v>52</v>
      </c>
      <c r="C60" s="9">
        <f>C33/C26</f>
        <v>0.08750198189433694</v>
      </c>
      <c r="D60" s="9">
        <f>(D33/0.75)/D26</f>
        <v>0.03347406605213471</v>
      </c>
      <c r="E60" s="9">
        <f>(E33/0.5)/E26</f>
        <v>0.06189064914016533</v>
      </c>
      <c r="F60" s="9">
        <f>((F33)/0.25)/F26</f>
        <v>0.06129883622900337</v>
      </c>
      <c r="G60" s="9">
        <f>G33/G26</f>
        <v>0.047096629812443266</v>
      </c>
      <c r="H60" s="9">
        <f>H33/H26</f>
        <v>0.042268404367735116</v>
      </c>
    </row>
    <row r="61" spans="1:8" s="2" customFormat="1" ht="11.25">
      <c r="A61" s="2" t="s">
        <v>53</v>
      </c>
      <c r="C61" s="9">
        <f>C34/C26</f>
        <v>0.01788092009155967</v>
      </c>
      <c r="D61" s="9">
        <f>(D34)/0.75/D26</f>
        <v>0.010227697333512864</v>
      </c>
      <c r="E61" s="9">
        <f>(E34/0.5)/E26</f>
        <v>0.027924252824219998</v>
      </c>
      <c r="F61" s="9">
        <f>((F34)/0.25)/F26</f>
        <v>0.0299714505204722</v>
      </c>
      <c r="G61" s="9">
        <f>G34/G26</f>
        <v>0.022308665226694963</v>
      </c>
      <c r="H61" s="9">
        <f>H34/H26</f>
        <v>0.025335882856136468</v>
      </c>
    </row>
    <row r="62" spans="1:8" s="2" customFormat="1" ht="11.25">
      <c r="A62" s="2" t="s">
        <v>54</v>
      </c>
      <c r="C62" s="9">
        <f>C37/C36</f>
        <v>0.43878828340148546</v>
      </c>
      <c r="D62" s="9">
        <f>(D37/0.75)/(D36/0.75)</f>
        <v>0.6084816905485598</v>
      </c>
      <c r="E62" s="9">
        <f>(E37/0.5)/(E36/0.5)</f>
        <v>0.6158497084862881</v>
      </c>
      <c r="F62" s="9">
        <f>(F37/0.25)/(F36/0.25)</f>
        <v>0.6339066339066339</v>
      </c>
      <c r="G62" s="9">
        <f>G37/G36</f>
        <v>0.9720506987325317</v>
      </c>
      <c r="H62" s="9">
        <f>H37/H36</f>
        <v>0.8879438656176908</v>
      </c>
    </row>
    <row r="63" spans="1:8" s="2" customFormat="1" ht="11.25">
      <c r="A63" s="3" t="s">
        <v>55</v>
      </c>
      <c r="B63" s="3"/>
      <c r="C63" s="11">
        <f>C35/C26</f>
        <v>0.0190107922805408</v>
      </c>
      <c r="D63" s="11">
        <f>(D35/0.75)/D26</f>
        <v>0.004991592108063784</v>
      </c>
      <c r="E63" s="11">
        <f>(E35/0.5)/E26</f>
        <v>0.01460031634018737</v>
      </c>
      <c r="F63" s="11">
        <f>(F35/0.25)/F26</f>
        <v>0.013031065443683565</v>
      </c>
      <c r="G63" s="11">
        <f>G35/G26</f>
        <v>0.008639830220798455</v>
      </c>
      <c r="H63" s="11">
        <f>H35/H26</f>
        <v>0.014106241298914775</v>
      </c>
    </row>
    <row r="64" s="2" customFormat="1" ht="11.25">
      <c r="A64" s="5" t="s">
        <v>56</v>
      </c>
    </row>
    <row r="65" spans="1:8" s="2" customFormat="1" ht="11.25">
      <c r="A65" s="2" t="s">
        <v>57</v>
      </c>
      <c r="C65" s="7">
        <v>36</v>
      </c>
      <c r="D65" s="7">
        <v>43</v>
      </c>
      <c r="E65" s="7">
        <v>39</v>
      </c>
      <c r="F65" s="7">
        <v>42</v>
      </c>
      <c r="G65" s="7">
        <v>42</v>
      </c>
      <c r="H65" s="7">
        <v>37</v>
      </c>
    </row>
    <row r="66" spans="1:8" s="2" customFormat="1" ht="11.25">
      <c r="A66" s="2" t="s">
        <v>58</v>
      </c>
      <c r="C66" s="7">
        <v>1</v>
      </c>
      <c r="D66" s="7">
        <v>1</v>
      </c>
      <c r="E66" s="7">
        <v>1</v>
      </c>
      <c r="F66" s="7">
        <v>1</v>
      </c>
      <c r="G66" s="7">
        <v>1</v>
      </c>
      <c r="H66" s="7">
        <v>1</v>
      </c>
    </row>
    <row r="67" spans="1:8" s="2" customFormat="1" ht="11.25">
      <c r="A67" s="2" t="s">
        <v>59</v>
      </c>
      <c r="C67" s="7">
        <f aca="true" t="shared" si="16" ref="C67:H67">C12/C65</f>
        <v>2547.3055555555557</v>
      </c>
      <c r="D67" s="7">
        <f t="shared" si="16"/>
        <v>2296.1627906976746</v>
      </c>
      <c r="E67" s="7">
        <f t="shared" si="16"/>
        <v>2609.5384615384614</v>
      </c>
      <c r="F67" s="7">
        <f t="shared" si="16"/>
        <v>2995</v>
      </c>
      <c r="G67" s="7">
        <f t="shared" si="16"/>
        <v>2810.0238095238096</v>
      </c>
      <c r="H67" s="7">
        <f t="shared" si="16"/>
        <v>1936.081081081081</v>
      </c>
    </row>
    <row r="68" spans="1:8" s="2" customFormat="1" ht="11.25">
      <c r="A68" s="2" t="s">
        <v>60</v>
      </c>
      <c r="C68" s="7">
        <f aca="true" t="shared" si="17" ref="C68:H68">C16/C65</f>
        <v>10069.027777777777</v>
      </c>
      <c r="D68" s="7">
        <f t="shared" si="17"/>
        <v>21512.116279069767</v>
      </c>
      <c r="E68" s="7">
        <f t="shared" si="17"/>
        <v>4964.025641025641</v>
      </c>
      <c r="F68" s="7">
        <f t="shared" si="17"/>
        <v>6083.333333333333</v>
      </c>
      <c r="G68" s="7">
        <f t="shared" si="17"/>
        <v>5671.428571428572</v>
      </c>
      <c r="H68" s="7">
        <f t="shared" si="17"/>
        <v>3339.3783783783783</v>
      </c>
    </row>
    <row r="69" spans="1:8" s="2" customFormat="1" ht="11.25">
      <c r="A69" s="3" t="s">
        <v>61</v>
      </c>
      <c r="B69" s="3"/>
      <c r="C69" s="8">
        <f aca="true" t="shared" si="18" ref="C69:H69">(C39/C65)</f>
        <v>165.75</v>
      </c>
      <c r="D69" s="8">
        <f t="shared" si="18"/>
        <v>59.41860465116279</v>
      </c>
      <c r="E69" s="8">
        <f t="shared" si="18"/>
        <v>45.61538461538461</v>
      </c>
      <c r="F69" s="8">
        <f t="shared" si="18"/>
        <v>21.285714285714285</v>
      </c>
      <c r="G69" s="8">
        <f t="shared" si="18"/>
        <v>4.095238095238095</v>
      </c>
      <c r="H69" s="8">
        <f t="shared" si="18"/>
        <v>14.243243243243244</v>
      </c>
    </row>
    <row r="70" spans="1:3" s="2" customFormat="1" ht="11.25">
      <c r="A70" s="5" t="s">
        <v>62</v>
      </c>
      <c r="C70" s="9"/>
    </row>
    <row r="71" spans="1:9" s="2" customFormat="1" ht="11.25">
      <c r="A71" s="2" t="s">
        <v>63</v>
      </c>
      <c r="C71" s="9">
        <f>(C10/G10)-1</f>
        <v>0.4647473716559991</v>
      </c>
      <c r="D71" s="9">
        <f>(D10/256502)-1</f>
        <v>2.719530452004273</v>
      </c>
      <c r="E71" s="9">
        <f>(E10/218490)-1</f>
        <v>-0.006284040459517581</v>
      </c>
      <c r="F71" s="9">
        <f>(F10/174167)-1</f>
        <v>0.6084103188319256</v>
      </c>
      <c r="G71" s="9">
        <f>(G10/H10)-1</f>
        <v>0.9651143717753721</v>
      </c>
      <c r="H71" s="9">
        <f>(H10/104352)-1</f>
        <v>0.2853035878564858</v>
      </c>
      <c r="I71" s="9"/>
    </row>
    <row r="72" spans="1:8" s="2" customFormat="1" ht="11.25">
      <c r="A72" s="2" t="s">
        <v>64</v>
      </c>
      <c r="C72" s="9">
        <f>(C12/G12)-1</f>
        <v>-0.22299421289431542</v>
      </c>
      <c r="D72" s="9">
        <f>SUM(D73:D74)</f>
        <v>0.20639361799545697</v>
      </c>
      <c r="E72" s="9">
        <f>E12/110803-1</f>
        <v>-0.0815050134021642</v>
      </c>
      <c r="F72" s="9">
        <f>F12/75806-1</f>
        <v>0.6593673324011291</v>
      </c>
      <c r="G72" s="9">
        <f>(G12/H12)-1</f>
        <v>0.6475326306972848</v>
      </c>
      <c r="H72" s="9">
        <f>H12/76716-1</f>
        <v>-0.06623129464518485</v>
      </c>
    </row>
    <row r="73" spans="2:8" s="2" customFormat="1" ht="11.25">
      <c r="B73" s="2" t="s">
        <v>13</v>
      </c>
      <c r="C73" s="9">
        <f>(C13/G13)-1</f>
        <v>-0.03749293144487842</v>
      </c>
      <c r="D73" s="9">
        <f>(D13/91434)-1</f>
        <v>-0.11049500185926464</v>
      </c>
      <c r="E73" s="9">
        <f>(E13/96831)-1</f>
        <v>-0.1378587435841827</v>
      </c>
      <c r="F73" s="9">
        <f>(F13/65184)-1</f>
        <v>0.4290776877761413</v>
      </c>
      <c r="G73" s="9">
        <f>(G13/H13)-1</f>
        <v>0.22136558569845333</v>
      </c>
      <c r="H73" s="9">
        <f>(H13/69645)-1</f>
        <v>-0.10605212147318543</v>
      </c>
    </row>
    <row r="74" spans="2:8" s="2" customFormat="1" ht="11.25">
      <c r="B74" s="2" t="s">
        <v>14</v>
      </c>
      <c r="C74" s="9">
        <f>(C14/G14)-1</f>
        <v>-0.5590042877560744</v>
      </c>
      <c r="D74" s="9">
        <f>(D14/13216)-1</f>
        <v>0.3168886198547216</v>
      </c>
      <c r="E74" s="9">
        <f>(E14/13972)-1</f>
        <v>0.3090466647580876</v>
      </c>
      <c r="F74" s="9">
        <f>(F14/10622)-1</f>
        <v>2.072585200527208</v>
      </c>
      <c r="G74" s="9">
        <f>(G14/H14)-1</f>
        <v>3.4773890784982937</v>
      </c>
      <c r="H74" s="9">
        <f>(H14/7071)-1</f>
        <v>0.3259793522839769</v>
      </c>
    </row>
    <row r="75" spans="1:8" s="2" customFormat="1" ht="11.25">
      <c r="A75" s="2" t="s">
        <v>65</v>
      </c>
      <c r="C75" s="9">
        <f>(C16/G16)-1</f>
        <v>0.5217674223341731</v>
      </c>
      <c r="D75" s="9">
        <f>D16/246506-1</f>
        <v>2.7525293501983725</v>
      </c>
      <c r="E75" s="9">
        <f>E16/207012-1</f>
        <v>-0.06480300658898996</v>
      </c>
      <c r="F75" s="9">
        <f>F16/161401-1</f>
        <v>0.5830137359743743</v>
      </c>
      <c r="G75" s="9">
        <f>(G16/H16)-1</f>
        <v>0.9278551599666551</v>
      </c>
      <c r="H75" s="9">
        <f>H16/97935-1</f>
        <v>0.26162250472252</v>
      </c>
    </row>
    <row r="76" spans="2:8" s="2" customFormat="1" ht="11.25">
      <c r="B76" s="2" t="s">
        <v>13</v>
      </c>
      <c r="C76" s="9">
        <f>(C17/G17)-1</f>
        <v>-0.5117641927630587</v>
      </c>
      <c r="D76" s="9">
        <f>(D17/173416)-1</f>
        <v>-0.5743357014347004</v>
      </c>
      <c r="E76" s="9">
        <f>(E17/159650)-1</f>
        <v>-0.5079423739430002</v>
      </c>
      <c r="F76" s="9">
        <f>(F17/117668)-1</f>
        <v>-0.11419417343712823</v>
      </c>
      <c r="G76" s="9">
        <f>(G17/H17)-1</f>
        <v>0.6331200787401574</v>
      </c>
      <c r="H76" s="9">
        <f>(H17/61813)-1</f>
        <v>0.24918706420979397</v>
      </c>
    </row>
    <row r="77" spans="2:10" s="2" customFormat="1" ht="11.25">
      <c r="B77" s="2" t="s">
        <v>14</v>
      </c>
      <c r="C77" s="9">
        <f>(C21/G21)-1</f>
        <v>1.6844340169674479</v>
      </c>
      <c r="D77" s="9">
        <f>(D21/73029)-1</f>
        <v>10.655698421175149</v>
      </c>
      <c r="E77" s="9">
        <f>(E21/47362)-1</f>
        <v>1.4289514800895233</v>
      </c>
      <c r="F77" s="9">
        <f>(F21/43733)-1</f>
        <v>2.458921180801683</v>
      </c>
      <c r="G77" s="9">
        <f>(G21/H21)-1</f>
        <v>1.4189594527524223</v>
      </c>
      <c r="H77" s="9">
        <f>(H21/36123)-1</f>
        <v>0.28286687152229884</v>
      </c>
      <c r="J77" s="12"/>
    </row>
    <row r="78" spans="1:8" s="2" customFormat="1" ht="11.25">
      <c r="A78" s="2" t="s">
        <v>66</v>
      </c>
      <c r="C78" s="9">
        <f>(C24/G24)-1</f>
        <v>1.4800563115908023</v>
      </c>
      <c r="D78" s="9">
        <f>(D24/4670)-1</f>
        <v>0.5323340471092077</v>
      </c>
      <c r="E78" s="9">
        <f>(E24/4243)-1</f>
        <v>0.5027103464529814</v>
      </c>
      <c r="F78" s="9">
        <f>(F24/4244)-1</f>
        <v>0.2148916116870876</v>
      </c>
      <c r="G78" s="9">
        <f>(G24/H24)-1</f>
        <v>0.04179907113175263</v>
      </c>
      <c r="H78" s="9">
        <f>(H24/3564)-1</f>
        <v>0.1478675645342311</v>
      </c>
    </row>
    <row r="79" spans="1:8" s="2" customFormat="1" ht="11.25">
      <c r="A79" s="3" t="s">
        <v>67</v>
      </c>
      <c r="B79" s="3"/>
      <c r="C79" s="11">
        <f>(C39/G39)-1</f>
        <v>33.69186046511628</v>
      </c>
      <c r="D79" s="11">
        <f>(D39/578)-1</f>
        <v>3.420415224913495</v>
      </c>
      <c r="E79" s="11">
        <f>(E39/152)-1</f>
        <v>10.703947368421053</v>
      </c>
      <c r="F79" s="11">
        <f>(F39/-82)-1</f>
        <v>-11.902439024390244</v>
      </c>
      <c r="G79" s="11">
        <f>(G39/H39)-1</f>
        <v>-0.6736242884250474</v>
      </c>
      <c r="H79" s="11">
        <f>(H39/1062)-1</f>
        <v>-0.5037664783427496</v>
      </c>
    </row>
    <row r="80" s="2" customFormat="1" ht="11.25"/>
    <row r="81" s="2" customFormat="1" ht="11.25"/>
    <row r="82" s="2" customFormat="1" ht="11.25"/>
    <row r="83" s="2" customFormat="1" ht="11.25"/>
    <row r="84" s="2" customFormat="1" ht="11.25"/>
    <row r="85" s="2" customFormat="1" ht="11.25"/>
    <row r="86" s="2" customFormat="1" ht="11.25"/>
    <row r="87" s="2" customFormat="1" ht="11.25"/>
    <row r="88" s="2" customFormat="1" ht="11.25"/>
    <row r="89" s="2" customFormat="1" ht="11.25"/>
    <row r="90" s="2" customFormat="1" ht="11.25"/>
    <row r="91" s="2" customFormat="1" ht="11.25"/>
    <row r="92" s="2" customFormat="1" ht="11.25"/>
    <row r="93" s="2" customFormat="1" ht="11.25"/>
    <row r="94" s="2" customFormat="1" ht="11.25"/>
    <row r="95" s="2" customFormat="1" ht="11.25"/>
    <row r="96" s="2" customFormat="1" ht="11.25"/>
    <row r="97" s="2" customFormat="1" ht="11.25"/>
    <row r="98" s="2" customFormat="1" ht="11.25"/>
    <row r="99" s="2" customFormat="1" ht="11.25"/>
    <row r="100" s="2" customFormat="1" ht="11.25"/>
    <row r="101" s="2" customFormat="1" ht="11.25"/>
    <row r="102" s="2" customFormat="1" ht="11.25"/>
    <row r="103" s="2" customFormat="1" ht="11.25"/>
    <row r="104" s="2" customFormat="1" ht="11.25"/>
    <row r="105" s="2" customFormat="1" ht="11.25"/>
    <row r="106" s="2" customFormat="1" ht="11.25"/>
    <row r="107" s="2" customFormat="1" ht="11.25"/>
    <row r="108" s="2" customFormat="1" ht="11.25"/>
    <row r="109" s="2" customFormat="1" ht="11.25"/>
    <row r="110" s="2" customFormat="1" ht="11.25"/>
    <row r="111" s="2" customFormat="1" ht="11.25"/>
    <row r="112" s="2" customFormat="1" ht="11.25"/>
    <row r="113" s="2" customFormat="1" ht="11.25"/>
    <row r="114" s="2" customFormat="1" ht="11.25"/>
    <row r="115" s="2" customFormat="1" ht="11.25"/>
    <row r="116" s="2" customFormat="1" ht="11.25"/>
    <row r="117" s="2" customFormat="1" ht="11.25"/>
    <row r="118" s="2" customFormat="1" ht="11.25"/>
    <row r="119" s="2" customFormat="1" ht="11.25"/>
    <row r="120" s="2" customFormat="1" ht="11.25"/>
    <row r="121" s="2" customFormat="1" ht="11.25"/>
    <row r="122" s="2" customFormat="1" ht="11.25"/>
    <row r="123" s="2" customFormat="1" ht="11.25"/>
    <row r="124" s="2" customFormat="1" ht="11.25"/>
    <row r="125" s="2" customFormat="1" ht="11.25"/>
    <row r="126" s="2" customFormat="1" ht="11.25"/>
    <row r="127" s="2" customFormat="1" ht="11.25"/>
    <row r="128" s="2" customFormat="1" ht="11.25"/>
    <row r="129" s="2" customFormat="1" ht="11.25"/>
    <row r="130" s="2" customFormat="1" ht="11.25"/>
    <row r="131" s="2" customFormat="1" ht="11.25"/>
    <row r="132" s="2" customFormat="1" ht="11.25"/>
    <row r="133" s="2" customFormat="1" ht="11.25"/>
    <row r="134" s="2" customFormat="1" ht="11.25"/>
    <row r="135" s="2" customFormat="1" ht="11.25"/>
    <row r="136" s="2" customFormat="1" ht="11.25"/>
    <row r="137" s="2" customFormat="1" ht="11.25"/>
    <row r="138" s="2" customFormat="1" ht="11.25"/>
    <row r="139" s="2" customFormat="1" ht="11.25"/>
    <row r="140" s="2" customFormat="1" ht="11.25"/>
    <row r="141" s="2" customFormat="1" ht="11.25"/>
    <row r="142" s="2" customFormat="1" ht="11.25"/>
    <row r="143" s="2" customFormat="1" ht="11.25"/>
    <row r="144" s="2" customFormat="1" ht="11.25"/>
    <row r="145" s="2" customFormat="1" ht="11.25"/>
    <row r="146" s="2" customFormat="1" ht="11.25"/>
    <row r="147" s="2" customFormat="1" ht="11.25"/>
    <row r="148" s="2" customFormat="1" ht="11.25"/>
    <row r="149" s="2" customFormat="1" ht="11.25"/>
    <row r="150" s="2" customFormat="1" ht="11.25"/>
    <row r="151" s="2" customFormat="1" ht="11.25"/>
    <row r="152" s="2" customFormat="1" ht="11.25"/>
    <row r="153" s="2" customFormat="1" ht="11.25"/>
    <row r="154" s="2" customFormat="1" ht="11.25"/>
    <row r="155" s="2" customFormat="1" ht="11.25"/>
    <row r="156" s="2" customFormat="1" ht="11.25"/>
    <row r="157" s="2" customFormat="1" ht="11.25"/>
    <row r="158" s="2" customFormat="1" ht="11.25"/>
    <row r="159" s="2" customFormat="1" ht="11.25"/>
    <row r="160" s="2" customFormat="1" ht="11.25"/>
    <row r="161" s="2" customFormat="1" ht="11.25"/>
    <row r="162" s="2" customFormat="1" ht="11.25"/>
    <row r="163" s="2" customFormat="1" ht="11.25"/>
    <row r="164" s="2" customFormat="1" ht="11.25"/>
    <row r="165" s="2" customFormat="1" ht="11.25"/>
    <row r="166" s="2" customFormat="1" ht="11.25"/>
    <row r="167" s="2" customFormat="1" ht="11.25"/>
    <row r="168" s="2" customFormat="1" ht="11.25"/>
    <row r="169" s="2" customFormat="1" ht="11.25"/>
    <row r="170" s="2" customFormat="1" ht="11.25"/>
    <row r="171" s="2" customFormat="1" ht="11.25"/>
    <row r="172" s="2" customFormat="1" ht="11.25"/>
    <row r="173" s="2" customFormat="1" ht="11.25"/>
    <row r="174" s="2" customFormat="1" ht="11.25"/>
    <row r="175" s="2" customFormat="1" ht="11.25"/>
    <row r="176" s="2" customFormat="1" ht="11.25"/>
    <row r="177" s="2" customFormat="1" ht="11.25"/>
    <row r="178" s="2" customFormat="1" ht="11.25"/>
    <row r="179" s="2" customFormat="1" ht="11.25"/>
    <row r="180" s="2" customFormat="1" ht="11.25"/>
    <row r="181" s="2" customFormat="1" ht="11.25"/>
    <row r="182" s="2" customFormat="1" ht="11.25"/>
    <row r="183" s="2" customFormat="1" ht="11.25"/>
    <row r="184" s="2" customFormat="1" ht="11.25"/>
    <row r="185" s="2" customFormat="1" ht="11.25"/>
    <row r="186" s="2" customFormat="1" ht="11.25"/>
    <row r="187" s="2" customFormat="1" ht="11.25"/>
    <row r="188" s="2" customFormat="1" ht="11.25"/>
    <row r="189" s="2" customFormat="1" ht="11.25"/>
    <row r="190" s="2" customFormat="1" ht="11.25"/>
    <row r="191" s="2" customFormat="1" ht="11.25"/>
    <row r="192" s="2" customFormat="1" ht="11.25"/>
    <row r="193" s="2" customFormat="1" ht="11.25"/>
    <row r="194" s="2" customFormat="1" ht="11.25"/>
    <row r="195" s="2" customFormat="1" ht="11.25"/>
    <row r="196" s="2" customFormat="1" ht="11.25"/>
    <row r="197" s="2" customFormat="1" ht="11.25"/>
    <row r="198" s="2" customFormat="1" ht="11.25"/>
    <row r="199" s="2" customFormat="1" ht="11.25"/>
    <row r="200" s="2" customFormat="1" ht="11.25"/>
    <row r="201" s="2" customFormat="1" ht="11.25"/>
    <row r="202" s="2" customFormat="1" ht="11.25"/>
    <row r="203" s="2" customFormat="1" ht="11.25"/>
    <row r="204" s="2" customFormat="1" ht="11.25"/>
    <row r="205" s="2" customFormat="1" ht="11.25"/>
    <row r="206" s="2" customFormat="1" ht="11.25"/>
    <row r="207" s="2" customFormat="1" ht="11.25"/>
    <row r="208" s="2" customFormat="1" ht="11.25"/>
    <row r="209" s="2" customFormat="1" ht="11.25"/>
    <row r="210" s="2" customFormat="1" ht="11.25"/>
    <row r="211" s="2" customFormat="1" ht="11.25"/>
    <row r="212" s="2" customFormat="1" ht="11.25"/>
    <row r="213" s="2" customFormat="1" ht="11.25"/>
    <row r="214" s="2" customFormat="1" ht="11.25"/>
  </sheetData>
  <sheetProtection password="CD66" sheet="1" objects="1" scenarios="1"/>
  <printOptions horizontalCentered="1"/>
  <pageMargins left="0.75" right="0.75" top="0.3937007874015748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2002-05-02T15:36:39Z</cp:lastPrinted>
  <dcterms:created xsi:type="dcterms:W3CDTF">2002-03-08T13:53:51Z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