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Universal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<sst xmlns="http://schemas.openxmlformats.org/spreadsheetml/2006/main" count="80" uniqueCount="68">
  <si>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18-22    BANCO UNIVERSAL,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</si>
  <si>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</si>
  <si>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</si>
  <si>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</si>
  <si>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</si>
  <si>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</si>
  <si>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</si>
  <si>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</si>
  <si>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</si>
  <si>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</si>
  <si>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</si>
  <si>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</si>
  <si>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</si>
  <si>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</si>
  <si>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</si>
  <si>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</si>
  <si>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</si>
  <si>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</si>
  <si>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</si>
  <si>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</si>
  <si>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</si>
  <si>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</si>
  <si>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</si>
  <si>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</si>
  <si>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</si>
  <si>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</si>
  <si>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</si>
  <si>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</si>
  <si>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</si>
  <si>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</si>
  <si>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</si>
  <si>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</si>
  <si>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</si>
  <si>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</si>
  <si>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</si>
  <si>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</si>
  <si>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 xml:space="preserve">Préstamos Vencidos / Préstamos Totales </t>
  </si>
  <si>
    <t xml:space="preserve">Morosos + Vencidos / Préstamos Totales </t>
  </si>
  <si>
    <t xml:space="preserve">Provisiones Cuentas Malas / Préstamos Totales </t>
  </si>
  <si>
    <t xml:space="preserve">Provisiones / Préstamos Morosos + Vencidos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</si>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</sst>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81" fontId="4" fillId="0" borderId="0" xfId="19" applyNumberFormat="1" applyFont="1" applyAlignment="1">
      <alignment/>
    </xf>
    <xf numFmtId="181" fontId="4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11.421875" defaultRowHeight="12.75"/>
  <cols>
    <col min="1" max="1" width="3.140625" style="1" customWidth="1"/>
    <col min="2" max="2" width="35.00390625" style="1" customWidth="1"/>
    <col min="3" max="3" width="12.00390625" style="1" customWidth="1"/>
    <col min="4" max="4" width="9.140625" style="1" customWidth="1"/>
    <col min="5" max="5" width="9.57421875" style="1" customWidth="1"/>
    <col min="6" max="6" width="9.8515625" style="1" customWidth="1"/>
    <col min="7" max="7" width="10.8515625" style="1" customWidth="1"/>
    <col min="8" max="8" width="11.57421875" style="1" customWidth="1"/>
    <col min="9" max="16384" width="9.8515625" style="1" customWidth="1"/>
  </cols>
  <sheetData>
    <row r="1" spans="2:8" ht="11.25">
      <c r="B1" s="15"/>
      <c r="C1" s="15"/>
      <c r="D1" s="15"/>
      <c r="E1" s="15"/>
      <c r="F1" s="15"/>
      <c r="G1" s="15"/>
      <c r="H1" s="15"/>
    </row>
    <row r="2" spans="2:8" ht="11.25">
      <c r="B2" s="15"/>
      <c r="C2" s="15"/>
      <c r="D2" s="15"/>
      <c r="E2" s="15"/>
      <c r="F2" s="15" t="s">
        <v>0</v>
      </c>
      <c r="G2" s="15"/>
      <c r="H2" s="15"/>
    </row>
    <row r="3" spans="2:8" ht="11.25">
      <c r="B3" s="16"/>
      <c r="C3" s="16"/>
      <c r="D3" s="16"/>
      <c r="E3" s="16"/>
      <c r="F3" s="15" t="s">
        <v>1</v>
      </c>
      <c r="G3" s="16"/>
      <c r="H3" s="16"/>
    </row>
    <row r="4" spans="1:8" ht="11.25">
      <c r="A4" s="16"/>
      <c r="B4" s="16"/>
      <c r="C4" s="16"/>
      <c r="D4" s="16"/>
      <c r="E4" s="16"/>
      <c r="F4" s="16" t="s">
        <v>2</v>
      </c>
      <c r="G4" s="16"/>
      <c r="H4" s="16"/>
    </row>
    <row r="5" spans="1:8" ht="11.25">
      <c r="A5" s="16"/>
      <c r="B5" s="16"/>
      <c r="C5" s="16"/>
      <c r="D5" s="16"/>
      <c r="E5" s="16"/>
      <c r="F5" s="16"/>
      <c r="G5" s="16"/>
      <c r="H5" s="16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46251</v>
      </c>
      <c r="D9" s="8">
        <v>43679</v>
      </c>
      <c r="E9" s="8">
        <v>44835</v>
      </c>
      <c r="F9" s="8">
        <v>39750</v>
      </c>
      <c r="G9" s="8">
        <v>37690</v>
      </c>
      <c r="H9" s="8">
        <v>29432</v>
      </c>
    </row>
    <row r="10" spans="1:8" ht="11.25">
      <c r="A10" s="7" t="s">
        <v>11</v>
      </c>
      <c r="B10" s="7"/>
      <c r="C10" s="8">
        <v>7477</v>
      </c>
      <c r="D10" s="8">
        <v>6674</v>
      </c>
      <c r="E10" s="8">
        <v>9619</v>
      </c>
      <c r="F10" s="8">
        <v>7093</v>
      </c>
      <c r="G10" s="8">
        <v>6497</v>
      </c>
      <c r="H10" s="8">
        <v>5112</v>
      </c>
    </row>
    <row r="11" spans="1:8" ht="11.25">
      <c r="A11" s="7" t="s">
        <v>12</v>
      </c>
      <c r="B11" s="7"/>
      <c r="C11" s="8">
        <f aca="true" t="shared" si="0" ref="C11:H11">C12+C13</f>
        <v>36366</v>
      </c>
      <c r="D11" s="8">
        <f t="shared" si="0"/>
        <v>34409</v>
      </c>
      <c r="E11" s="8">
        <f t="shared" si="0"/>
        <v>32902</v>
      </c>
      <c r="F11" s="8">
        <f t="shared" si="0"/>
        <v>30231</v>
      </c>
      <c r="G11" s="8">
        <f t="shared" si="0"/>
        <v>29053</v>
      </c>
      <c r="H11" s="8">
        <f t="shared" si="0"/>
        <v>21219</v>
      </c>
    </row>
    <row r="12" spans="1:8" ht="11.25">
      <c r="A12" s="7"/>
      <c r="B12" s="7" t="s">
        <v>13</v>
      </c>
      <c r="C12" s="8">
        <v>36366</v>
      </c>
      <c r="D12" s="8">
        <v>34409</v>
      </c>
      <c r="E12" s="8">
        <v>32902</v>
      </c>
      <c r="F12" s="8">
        <v>30231</v>
      </c>
      <c r="G12" s="8">
        <v>29053</v>
      </c>
      <c r="H12" s="8">
        <v>21219</v>
      </c>
    </row>
    <row r="13" spans="1:8" ht="11.25">
      <c r="A13" s="7"/>
      <c r="B13" s="7" t="s">
        <v>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1.25">
      <c r="A14" s="7" t="s">
        <v>15</v>
      </c>
      <c r="B14" s="7"/>
      <c r="C14" s="8">
        <v>824</v>
      </c>
      <c r="D14" s="8">
        <v>826</v>
      </c>
      <c r="E14" s="8">
        <v>673</v>
      </c>
      <c r="F14" s="8">
        <v>686</v>
      </c>
      <c r="G14" s="8">
        <v>542</v>
      </c>
      <c r="H14" s="8">
        <v>431</v>
      </c>
    </row>
    <row r="15" spans="1:8" ht="11.25">
      <c r="A15" s="7" t="s">
        <v>16</v>
      </c>
      <c r="B15" s="7"/>
      <c r="C15" s="8">
        <f aca="true" t="shared" si="1" ref="C15:H15">C16+C20</f>
        <v>34193</v>
      </c>
      <c r="D15" s="8">
        <f t="shared" si="1"/>
        <v>32046</v>
      </c>
      <c r="E15" s="8">
        <f t="shared" si="1"/>
        <v>33218</v>
      </c>
      <c r="F15" s="8">
        <f t="shared" si="1"/>
        <v>28807</v>
      </c>
      <c r="G15" s="8">
        <f t="shared" si="1"/>
        <v>26729</v>
      </c>
      <c r="H15" s="8">
        <f t="shared" si="1"/>
        <v>19708</v>
      </c>
    </row>
    <row r="16" spans="1:8" ht="11.25">
      <c r="A16" s="7"/>
      <c r="B16" s="7" t="s">
        <v>13</v>
      </c>
      <c r="C16" s="8">
        <f aca="true" t="shared" si="2" ref="C16:H16">SUM(C17:C19)</f>
        <v>34193</v>
      </c>
      <c r="D16" s="8">
        <f t="shared" si="2"/>
        <v>32046</v>
      </c>
      <c r="E16" s="8">
        <f t="shared" si="2"/>
        <v>31718</v>
      </c>
      <c r="F16" s="8">
        <f t="shared" si="2"/>
        <v>27307</v>
      </c>
      <c r="G16" s="8">
        <f t="shared" si="2"/>
        <v>25229</v>
      </c>
      <c r="H16" s="8">
        <f t="shared" si="2"/>
        <v>18208</v>
      </c>
    </row>
    <row r="17" spans="1:8" ht="11.25">
      <c r="A17" s="7"/>
      <c r="B17" s="7" t="s">
        <v>17</v>
      </c>
      <c r="C17" s="8"/>
      <c r="D17" s="8"/>
      <c r="E17" s="8"/>
      <c r="F17" s="8"/>
      <c r="G17" s="8">
        <v>0</v>
      </c>
      <c r="H17" s="8">
        <v>0</v>
      </c>
    </row>
    <row r="18" spans="1:8" ht="11.25">
      <c r="A18" s="7"/>
      <c r="B18" s="7" t="s">
        <v>18</v>
      </c>
      <c r="C18" s="8">
        <v>30135</v>
      </c>
      <c r="D18" s="8">
        <v>29992</v>
      </c>
      <c r="E18" s="8">
        <v>28644</v>
      </c>
      <c r="F18" s="8">
        <v>24112</v>
      </c>
      <c r="G18" s="8">
        <v>22159</v>
      </c>
      <c r="H18" s="8">
        <v>18176</v>
      </c>
    </row>
    <row r="19" spans="1:8" ht="11.25">
      <c r="A19" s="7"/>
      <c r="B19" s="7" t="s">
        <v>19</v>
      </c>
      <c r="C19" s="8">
        <v>4058</v>
      </c>
      <c r="D19" s="8">
        <v>2054</v>
      </c>
      <c r="E19" s="8">
        <v>3074</v>
      </c>
      <c r="F19" s="8">
        <v>3195</v>
      </c>
      <c r="G19" s="8">
        <v>3070</v>
      </c>
      <c r="H19" s="8">
        <v>32</v>
      </c>
    </row>
    <row r="20" spans="1:8" ht="11.25">
      <c r="A20" s="7"/>
      <c r="B20" s="7" t="s">
        <v>14</v>
      </c>
      <c r="C20" s="8">
        <f aca="true" t="shared" si="3" ref="C20:H20">SUM(C21:C22)</f>
        <v>0</v>
      </c>
      <c r="D20" s="8">
        <f t="shared" si="3"/>
        <v>0</v>
      </c>
      <c r="E20" s="8">
        <f t="shared" si="3"/>
        <v>1500</v>
      </c>
      <c r="F20" s="8">
        <f t="shared" si="3"/>
        <v>1500</v>
      </c>
      <c r="G20" s="8">
        <f t="shared" si="3"/>
        <v>1500</v>
      </c>
      <c r="H20" s="8">
        <f t="shared" si="3"/>
        <v>1500</v>
      </c>
    </row>
    <row r="21" spans="1:8" ht="11.25">
      <c r="A21" s="7"/>
      <c r="B21" s="7" t="s">
        <v>18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1.25">
      <c r="A22" s="7"/>
      <c r="B22" s="7" t="s">
        <v>19</v>
      </c>
      <c r="C22" s="8"/>
      <c r="D22" s="8"/>
      <c r="E22" s="8">
        <v>1500</v>
      </c>
      <c r="F22" s="8">
        <v>1500</v>
      </c>
      <c r="G22" s="8">
        <v>1500</v>
      </c>
      <c r="H22" s="8">
        <v>1500</v>
      </c>
    </row>
    <row r="23" spans="1:8" ht="11.25">
      <c r="A23" s="3" t="s">
        <v>20</v>
      </c>
      <c r="B23" s="3"/>
      <c r="C23" s="9">
        <v>9290</v>
      </c>
      <c r="D23" s="9">
        <v>9005</v>
      </c>
      <c r="E23" s="9">
        <v>8660</v>
      </c>
      <c r="F23" s="9">
        <v>8387</v>
      </c>
      <c r="G23" s="9">
        <v>8411</v>
      </c>
      <c r="H23" s="9">
        <v>7744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41970.5</v>
      </c>
      <c r="D25" s="8">
        <v>40148</v>
      </c>
      <c r="E25" s="8">
        <v>38259</v>
      </c>
      <c r="F25" s="8">
        <v>35781</v>
      </c>
      <c r="G25" s="8">
        <f>(G9+H9)/2</f>
        <v>33561</v>
      </c>
      <c r="H25" s="8">
        <f>(H9+19747)/2</f>
        <v>24589.5</v>
      </c>
    </row>
    <row r="26" spans="1:8" ht="11.25">
      <c r="A26" s="7" t="s">
        <v>22</v>
      </c>
      <c r="B26" s="7"/>
      <c r="C26" s="8">
        <f aca="true" t="shared" si="4" ref="C26:H26">C27+C28</f>
        <v>33392.5</v>
      </c>
      <c r="D26" s="8">
        <f t="shared" si="4"/>
        <v>31478</v>
      </c>
      <c r="E26" s="8">
        <f t="shared" si="4"/>
        <v>29537</v>
      </c>
      <c r="F26" s="8">
        <f t="shared" si="4"/>
        <v>27159</v>
      </c>
      <c r="G26" s="8">
        <f t="shared" si="4"/>
        <v>25622.5</v>
      </c>
      <c r="H26" s="8">
        <f t="shared" si="4"/>
        <v>16999.5</v>
      </c>
    </row>
    <row r="27" spans="1:8" ht="11.25">
      <c r="A27" s="7"/>
      <c r="B27" s="7" t="s">
        <v>12</v>
      </c>
      <c r="C27" s="8">
        <f>+(C11+G11)/2</f>
        <v>32709.5</v>
      </c>
      <c r="D27" s="8">
        <v>30846</v>
      </c>
      <c r="E27" s="8">
        <v>28982</v>
      </c>
      <c r="F27" s="8">
        <v>26599</v>
      </c>
      <c r="G27" s="8">
        <f>(G11+H11)/2</f>
        <v>25136</v>
      </c>
      <c r="H27" s="8">
        <f>(H11+11930)/2</f>
        <v>16574.5</v>
      </c>
    </row>
    <row r="28" spans="1:8" ht="11.25">
      <c r="A28" s="7"/>
      <c r="B28" s="7" t="s">
        <v>15</v>
      </c>
      <c r="C28" s="8">
        <f>+(C14+G14)/2</f>
        <v>683</v>
      </c>
      <c r="D28" s="8">
        <v>632</v>
      </c>
      <c r="E28" s="8">
        <v>555</v>
      </c>
      <c r="F28" s="8">
        <v>560</v>
      </c>
      <c r="G28" s="8">
        <f>(G14+H14)/2</f>
        <v>486.5</v>
      </c>
      <c r="H28" s="8">
        <f>(H14+419)/2</f>
        <v>425</v>
      </c>
    </row>
    <row r="29" spans="1:8" ht="11.25">
      <c r="A29" s="3" t="s">
        <v>20</v>
      </c>
      <c r="B29" s="3"/>
      <c r="C29" s="9">
        <f>+(C23+G23)/2</f>
        <v>8850.5</v>
      </c>
      <c r="D29" s="9">
        <v>8625</v>
      </c>
      <c r="E29" s="9">
        <v>8331</v>
      </c>
      <c r="F29" s="9">
        <v>8164</v>
      </c>
      <c r="G29" s="9">
        <f>(G23+H23)/2</f>
        <v>8077.5</v>
      </c>
      <c r="H29" s="9">
        <f>(H23+4020)/2</f>
        <v>5882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v>4555</v>
      </c>
      <c r="D31" s="8">
        <v>3310</v>
      </c>
      <c r="E31" s="8">
        <v>2115</v>
      </c>
      <c r="F31" s="8">
        <v>1019</v>
      </c>
      <c r="G31" s="8">
        <v>3443</v>
      </c>
      <c r="H31" s="8">
        <v>2581</v>
      </c>
    </row>
    <row r="32" spans="1:8" ht="11.25">
      <c r="A32" s="7" t="s">
        <v>25</v>
      </c>
      <c r="B32" s="7"/>
      <c r="C32" s="8">
        <v>2493</v>
      </c>
      <c r="D32" s="8">
        <v>1832</v>
      </c>
      <c r="E32" s="8">
        <v>1165</v>
      </c>
      <c r="F32" s="8">
        <v>568</v>
      </c>
      <c r="G32" s="8">
        <v>1870</v>
      </c>
      <c r="H32" s="8">
        <v>1221</v>
      </c>
    </row>
    <row r="33" spans="1:8" ht="11.25">
      <c r="A33" s="7" t="s">
        <v>26</v>
      </c>
      <c r="B33" s="7"/>
      <c r="C33" s="8">
        <f aca="true" t="shared" si="5" ref="C33:H33">C31-C32</f>
        <v>2062</v>
      </c>
      <c r="D33" s="8">
        <f t="shared" si="5"/>
        <v>1478</v>
      </c>
      <c r="E33" s="8">
        <f t="shared" si="5"/>
        <v>950</v>
      </c>
      <c r="F33" s="8">
        <f t="shared" si="5"/>
        <v>451</v>
      </c>
      <c r="G33" s="8">
        <f t="shared" si="5"/>
        <v>1573</v>
      </c>
      <c r="H33" s="8">
        <f t="shared" si="5"/>
        <v>1360</v>
      </c>
    </row>
    <row r="34" spans="1:8" ht="11.25">
      <c r="A34" s="7" t="s">
        <v>27</v>
      </c>
      <c r="B34" s="7"/>
      <c r="C34" s="8">
        <v>810</v>
      </c>
      <c r="D34" s="8">
        <v>586</v>
      </c>
      <c r="E34" s="8">
        <v>378</v>
      </c>
      <c r="F34" s="8">
        <v>155</v>
      </c>
      <c r="G34" s="8">
        <v>391</v>
      </c>
      <c r="H34" s="8">
        <v>52</v>
      </c>
    </row>
    <row r="35" spans="1:8" ht="11.25">
      <c r="A35" s="7" t="s">
        <v>28</v>
      </c>
      <c r="B35" s="7"/>
      <c r="C35" s="8">
        <f aca="true" t="shared" si="6" ref="C35:H35">C33+C34</f>
        <v>2872</v>
      </c>
      <c r="D35" s="8">
        <f t="shared" si="6"/>
        <v>2064</v>
      </c>
      <c r="E35" s="8">
        <f t="shared" si="6"/>
        <v>1328</v>
      </c>
      <c r="F35" s="8">
        <f t="shared" si="6"/>
        <v>606</v>
      </c>
      <c r="G35" s="8">
        <f t="shared" si="6"/>
        <v>1964</v>
      </c>
      <c r="H35" s="8">
        <f t="shared" si="6"/>
        <v>1412</v>
      </c>
    </row>
    <row r="36" spans="1:8" ht="11.25">
      <c r="A36" s="7" t="s">
        <v>29</v>
      </c>
      <c r="B36" s="7"/>
      <c r="C36" s="8">
        <v>1573</v>
      </c>
      <c r="D36" s="8">
        <v>1144</v>
      </c>
      <c r="E36" s="8">
        <v>796</v>
      </c>
      <c r="F36" s="8">
        <v>366</v>
      </c>
      <c r="G36" s="8">
        <v>1254</v>
      </c>
      <c r="H36" s="8">
        <v>965</v>
      </c>
    </row>
    <row r="37" spans="1:8" ht="11.25">
      <c r="A37" s="7" t="s">
        <v>30</v>
      </c>
      <c r="B37" s="7"/>
      <c r="C37" s="8">
        <f aca="true" t="shared" si="7" ref="C37:H37">C35-C36</f>
        <v>1299</v>
      </c>
      <c r="D37" s="8">
        <f t="shared" si="7"/>
        <v>920</v>
      </c>
      <c r="E37" s="8">
        <f t="shared" si="7"/>
        <v>532</v>
      </c>
      <c r="F37" s="8">
        <f t="shared" si="7"/>
        <v>240</v>
      </c>
      <c r="G37" s="8">
        <f t="shared" si="7"/>
        <v>710</v>
      </c>
      <c r="H37" s="8">
        <f t="shared" si="7"/>
        <v>447</v>
      </c>
    </row>
    <row r="38" spans="1:8" ht="11.25">
      <c r="A38" s="3" t="s">
        <v>31</v>
      </c>
      <c r="B38" s="3"/>
      <c r="C38" s="9">
        <v>1130</v>
      </c>
      <c r="D38" s="9">
        <v>846</v>
      </c>
      <c r="E38" s="9">
        <v>501</v>
      </c>
      <c r="F38" s="9">
        <v>229</v>
      </c>
      <c r="G38" s="9">
        <v>672</v>
      </c>
      <c r="H38" s="9">
        <v>447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1210</v>
      </c>
      <c r="D40" s="8">
        <v>1129</v>
      </c>
      <c r="E40" s="8">
        <v>829</v>
      </c>
      <c r="F40" s="8">
        <v>589</v>
      </c>
      <c r="G40" s="8">
        <v>779</v>
      </c>
      <c r="H40" s="8">
        <v>285</v>
      </c>
    </row>
    <row r="41" spans="1:8" ht="11.25">
      <c r="A41" s="7" t="s">
        <v>34</v>
      </c>
      <c r="B41" s="7"/>
      <c r="C41" s="8">
        <v>187</v>
      </c>
      <c r="D41" s="8">
        <v>81</v>
      </c>
      <c r="E41" s="8">
        <v>192</v>
      </c>
      <c r="F41" s="8">
        <v>89</v>
      </c>
      <c r="G41" s="8">
        <v>126</v>
      </c>
      <c r="H41" s="8">
        <v>342</v>
      </c>
    </row>
    <row r="42" spans="1:8" ht="11.25">
      <c r="A42" s="7" t="s">
        <v>35</v>
      </c>
      <c r="B42" s="7"/>
      <c r="C42" s="10">
        <f aca="true" t="shared" si="8" ref="C42:H42">C40/C11</f>
        <v>0.03327283726557774</v>
      </c>
      <c r="D42" s="10">
        <f t="shared" si="8"/>
        <v>0.03281118312069517</v>
      </c>
      <c r="E42" s="10">
        <f t="shared" si="8"/>
        <v>0.02519603671509331</v>
      </c>
      <c r="F42" s="10">
        <f t="shared" si="8"/>
        <v>0.019483311832225198</v>
      </c>
      <c r="G42" s="10">
        <f t="shared" si="8"/>
        <v>0.02681306577633979</v>
      </c>
      <c r="H42" s="10">
        <f t="shared" si="8"/>
        <v>0.01343135868796833</v>
      </c>
    </row>
    <row r="43" spans="1:8" ht="11.25">
      <c r="A43" s="7" t="s">
        <v>36</v>
      </c>
      <c r="B43" s="7"/>
      <c r="C43" s="10">
        <f aca="true" t="shared" si="9" ref="C43:H43">C41/C11</f>
        <v>0.00514216575922565</v>
      </c>
      <c r="D43" s="10">
        <f t="shared" si="9"/>
        <v>0.002354035281467058</v>
      </c>
      <c r="E43" s="10">
        <f t="shared" si="9"/>
        <v>0.005835511519056593</v>
      </c>
      <c r="F43" s="10">
        <f t="shared" si="9"/>
        <v>0.0029439978829678146</v>
      </c>
      <c r="G43" s="10">
        <f t="shared" si="9"/>
        <v>0.004336901524799504</v>
      </c>
      <c r="H43" s="10">
        <f t="shared" si="9"/>
        <v>0.016117630425561996</v>
      </c>
    </row>
    <row r="44" spans="1:8" ht="11.25">
      <c r="A44" s="11" t="s">
        <v>37</v>
      </c>
      <c r="B44" s="7"/>
      <c r="C44" s="10">
        <f aca="true" t="shared" si="10" ref="C44:H44">(C40+C41)/C11</f>
        <v>0.038415003024803385</v>
      </c>
      <c r="D44" s="10">
        <f t="shared" si="10"/>
        <v>0.035165218402162225</v>
      </c>
      <c r="E44" s="10">
        <f t="shared" si="10"/>
        <v>0.0310315482341499</v>
      </c>
      <c r="F44" s="10">
        <f t="shared" si="10"/>
        <v>0.022427309715193015</v>
      </c>
      <c r="G44" s="10">
        <f t="shared" si="10"/>
        <v>0.031149967301139298</v>
      </c>
      <c r="H44" s="10">
        <f t="shared" si="10"/>
        <v>0.029548989113530325</v>
      </c>
    </row>
    <row r="45" spans="1:8" ht="11.25">
      <c r="A45" s="7" t="s">
        <v>38</v>
      </c>
      <c r="B45" s="7"/>
      <c r="C45" s="10">
        <v>0.0077</v>
      </c>
      <c r="D45" s="10">
        <v>0.0054</v>
      </c>
      <c r="E45" s="10">
        <v>0.0043</v>
      </c>
      <c r="F45" s="10">
        <v>0.004</v>
      </c>
      <c r="G45" s="10">
        <v>0.0049</v>
      </c>
      <c r="H45" s="10">
        <v>0.0033</v>
      </c>
    </row>
    <row r="46" spans="1:8" ht="11.25">
      <c r="A46" s="3" t="s">
        <v>39</v>
      </c>
      <c r="B46" s="3"/>
      <c r="C46" s="12">
        <v>0.201</v>
      </c>
      <c r="D46" s="12">
        <v>0.1536</v>
      </c>
      <c r="E46" s="12">
        <v>0.1388</v>
      </c>
      <c r="F46" s="12">
        <v>0.1792</v>
      </c>
      <c r="G46" s="12">
        <v>0.1562</v>
      </c>
      <c r="H46" s="12">
        <v>0.1113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11" ref="C48:H48">C23/(C11+C14)</f>
        <v>0.2497983328851842</v>
      </c>
      <c r="D48" s="10">
        <f t="shared" si="11"/>
        <v>0.2555697459912019</v>
      </c>
      <c r="E48" s="10">
        <f t="shared" si="11"/>
        <v>0.2579300074460164</v>
      </c>
      <c r="F48" s="10">
        <f t="shared" si="11"/>
        <v>0.2712747032377009</v>
      </c>
      <c r="G48" s="10">
        <f t="shared" si="11"/>
        <v>0.2842034127386383</v>
      </c>
      <c r="H48" s="10">
        <f t="shared" si="11"/>
        <v>0.3576905311778291</v>
      </c>
    </row>
    <row r="49" spans="1:8" ht="11.25">
      <c r="A49" s="3" t="s">
        <v>42</v>
      </c>
      <c r="B49" s="3"/>
      <c r="C49" s="12">
        <f aca="true" t="shared" si="12" ref="C49:H49">C23/C11</f>
        <v>0.25545839520431174</v>
      </c>
      <c r="D49" s="12">
        <f t="shared" si="12"/>
        <v>0.2617047865384057</v>
      </c>
      <c r="E49" s="12">
        <f t="shared" si="12"/>
        <v>0.2632058841407817</v>
      </c>
      <c r="F49" s="12">
        <f t="shared" si="12"/>
        <v>0.27743045218484336</v>
      </c>
      <c r="G49" s="12">
        <f t="shared" si="12"/>
        <v>0.2895053867070526</v>
      </c>
      <c r="H49" s="12">
        <f t="shared" si="12"/>
        <v>0.3649559357179886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3">
        <f aca="true" t="shared" si="13" ref="C51:H51">C10/C15</f>
        <v>0.21867048811160178</v>
      </c>
      <c r="D51" s="13">
        <f t="shared" si="13"/>
        <v>0.20826312176246645</v>
      </c>
      <c r="E51" s="13">
        <f t="shared" si="13"/>
        <v>0.2895719188391836</v>
      </c>
      <c r="F51" s="13">
        <f t="shared" si="13"/>
        <v>0.24622487589821918</v>
      </c>
      <c r="G51" s="13">
        <f t="shared" si="13"/>
        <v>0.24306932545175652</v>
      </c>
      <c r="H51" s="13">
        <f t="shared" si="13"/>
        <v>0.2593870509437792</v>
      </c>
    </row>
    <row r="52" spans="1:8" ht="11.25">
      <c r="A52" s="7" t="s">
        <v>45</v>
      </c>
      <c r="B52" s="7"/>
      <c r="C52" s="13">
        <f aca="true" t="shared" si="14" ref="C52:H52">C10/C9</f>
        <v>0.16166136948390306</v>
      </c>
      <c r="D52" s="13">
        <f t="shared" si="14"/>
        <v>0.15279653838228896</v>
      </c>
      <c r="E52" s="13">
        <f t="shared" si="14"/>
        <v>0.21454221032675366</v>
      </c>
      <c r="F52" s="13">
        <f t="shared" si="14"/>
        <v>0.17844025157232704</v>
      </c>
      <c r="G52" s="13">
        <f t="shared" si="14"/>
        <v>0.17237994162907933</v>
      </c>
      <c r="H52" s="13">
        <f t="shared" si="14"/>
        <v>0.17368850231041044</v>
      </c>
    </row>
    <row r="53" spans="1:8" ht="11.25">
      <c r="A53" s="3" t="s">
        <v>46</v>
      </c>
      <c r="B53" s="3"/>
      <c r="C53" s="14">
        <f aca="true" t="shared" si="15" ref="C53:H53">(C10+C14)/C15</f>
        <v>0.24276898780452139</v>
      </c>
      <c r="D53" s="14">
        <f t="shared" si="15"/>
        <v>0.23403856955626287</v>
      </c>
      <c r="E53" s="14">
        <f t="shared" si="15"/>
        <v>0.3098320187849961</v>
      </c>
      <c r="F53" s="14">
        <f t="shared" si="15"/>
        <v>0.2700385323011768</v>
      </c>
      <c r="G53" s="14">
        <f t="shared" si="15"/>
        <v>0.26334692655916797</v>
      </c>
      <c r="H53" s="14">
        <f t="shared" si="15"/>
        <v>0.28125634260198906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0">
        <f>(C38)/C26</f>
        <v>0.03383993411694243</v>
      </c>
      <c r="D55" s="10">
        <f>((D38)/0.75)/D26</f>
        <v>0.03583455111506449</v>
      </c>
      <c r="E55" s="10">
        <f>((E38)/0.5)/E26</f>
        <v>0.033923553509158</v>
      </c>
      <c r="F55" s="10">
        <f>((F38)/0.25)/F26</f>
        <v>0.033727309547479656</v>
      </c>
      <c r="G55" s="10">
        <f>G38/G26</f>
        <v>0.02622694897063128</v>
      </c>
      <c r="H55" s="10">
        <f>H38/H26</f>
        <v>0.026294891026206652</v>
      </c>
    </row>
    <row r="56" spans="1:8" ht="11.25">
      <c r="A56" s="7" t="s">
        <v>49</v>
      </c>
      <c r="B56" s="7"/>
      <c r="C56" s="10">
        <f>(C38)/C25</f>
        <v>0.02692367257954992</v>
      </c>
      <c r="D56" s="10">
        <f>((D38)/0.75)/D25</f>
        <v>0.02809604463485105</v>
      </c>
      <c r="E56" s="10">
        <f>((E38)/0.5)/E25</f>
        <v>0.026189916098172977</v>
      </c>
      <c r="F56" s="10">
        <f>((F38)/0.25)/F25</f>
        <v>0.02560017886587854</v>
      </c>
      <c r="G56" s="10">
        <f>G38/G25</f>
        <v>0.020023241262179314</v>
      </c>
      <c r="H56" s="10">
        <f>H38/H25</f>
        <v>0.01817849081925212</v>
      </c>
    </row>
    <row r="57" spans="1:8" ht="11.25">
      <c r="A57" s="7" t="s">
        <v>50</v>
      </c>
      <c r="B57" s="7"/>
      <c r="C57" s="10">
        <f>(C38)/C29</f>
        <v>0.1276764024631377</v>
      </c>
      <c r="D57" s="10">
        <f>((D38)/0.75)/D29</f>
        <v>0.13078260869565217</v>
      </c>
      <c r="E57" s="10">
        <f>((E38)/0.5)/E29</f>
        <v>0.12027367662945625</v>
      </c>
      <c r="F57" s="10">
        <f>((F38)/0.25)/F29</f>
        <v>0.1121999020088192</v>
      </c>
      <c r="G57" s="10">
        <f>G38/G29</f>
        <v>0.08319405756731663</v>
      </c>
      <c r="H57" s="10">
        <f>H38/H29</f>
        <v>0.07599455967358042</v>
      </c>
    </row>
    <row r="58" spans="1:8" ht="11.25">
      <c r="A58" s="7" t="s">
        <v>51</v>
      </c>
      <c r="B58" s="7"/>
      <c r="C58" s="10">
        <f>(C31)/C25</f>
        <v>0.10852860938039814</v>
      </c>
      <c r="D58" s="10">
        <f>((D31)/0.75)/D25</f>
        <v>0.109926604895221</v>
      </c>
      <c r="E58" s="10">
        <f>((E31)/0.5)/E25</f>
        <v>0.11056222065396377</v>
      </c>
      <c r="F58" s="10">
        <f>((F31)/0.25)/F25</f>
        <v>0.11391520639445515</v>
      </c>
      <c r="G58" s="10">
        <f>G31/G25</f>
        <v>0.10258931497869551</v>
      </c>
      <c r="H58" s="10">
        <f>H31/H25</f>
        <v>0.10496350068118505</v>
      </c>
    </row>
    <row r="59" spans="1:8" ht="11.25">
      <c r="A59" s="7" t="s">
        <v>52</v>
      </c>
      <c r="B59" s="7"/>
      <c r="C59" s="10">
        <f>(C32)/C25</f>
        <v>0.05939886348744952</v>
      </c>
      <c r="D59" s="10">
        <f>((D32)/0.75)/D25</f>
        <v>0.060841552920859486</v>
      </c>
      <c r="E59" s="10">
        <f>((E32)/0.5)/E25</f>
        <v>0.060900703102537965</v>
      </c>
      <c r="F59" s="10">
        <f>((F32)/0.25)/F25</f>
        <v>0.06349738688130573</v>
      </c>
      <c r="G59" s="10">
        <f>G32/G25</f>
        <v>0.055719436250409704</v>
      </c>
      <c r="H59" s="10">
        <f>H32/H25</f>
        <v>0.049655340694198746</v>
      </c>
    </row>
    <row r="60" spans="1:8" ht="11.25">
      <c r="A60" s="7" t="s">
        <v>53</v>
      </c>
      <c r="B60" s="7"/>
      <c r="C60" s="10">
        <f>(C33)/C25</f>
        <v>0.04912974589294862</v>
      </c>
      <c r="D60" s="10">
        <f>((D33)/0.75)/D25</f>
        <v>0.049085051974361533</v>
      </c>
      <c r="E60" s="10">
        <f>((E33)/0.5)/E25</f>
        <v>0.04966151755142581</v>
      </c>
      <c r="F60" s="10">
        <f>((F33)/0.25)/F25</f>
        <v>0.050417819513149435</v>
      </c>
      <c r="G60" s="10">
        <f>G33/G25</f>
        <v>0.04686987872828581</v>
      </c>
      <c r="H60" s="10">
        <f>H33/H25</f>
        <v>0.055308159986986315</v>
      </c>
    </row>
    <row r="61" spans="1:8" ht="11.25">
      <c r="A61" s="7" t="s">
        <v>54</v>
      </c>
      <c r="B61" s="7"/>
      <c r="C61" s="10">
        <f>(C36)/(C35)</f>
        <v>0.5477019498607242</v>
      </c>
      <c r="D61" s="10">
        <f>((D36)/0.75)/((D35)/0.75)</f>
        <v>0.5542635658914729</v>
      </c>
      <c r="E61" s="10">
        <f>((E36)/0.5)/((E35)/0.5)</f>
        <v>0.5993975903614458</v>
      </c>
      <c r="F61" s="10">
        <f>(F36/0.25)/(F35/0.25)</f>
        <v>0.6039603960396039</v>
      </c>
      <c r="G61" s="10">
        <f>G36/G35</f>
        <v>0.6384928716904277</v>
      </c>
      <c r="H61" s="10">
        <f>H36/H35</f>
        <v>0.68342776203966</v>
      </c>
    </row>
    <row r="62" spans="1:8" ht="11.25">
      <c r="A62" s="3" t="s">
        <v>55</v>
      </c>
      <c r="B62" s="3"/>
      <c r="C62" s="12">
        <f>(C34)/C25</f>
        <v>0.019299269725164103</v>
      </c>
      <c r="D62" s="12">
        <f>((D34)/0.75)/D25</f>
        <v>0.019461326425558766</v>
      </c>
      <c r="E62" s="12">
        <f>((E34)/0.5)/E25</f>
        <v>0.019760056457304165</v>
      </c>
      <c r="F62" s="12">
        <f>(F34/0.255)/F25</f>
        <v>0.016987874493583244</v>
      </c>
      <c r="G62" s="12">
        <f>G34/G25</f>
        <v>0.011650427579631119</v>
      </c>
      <c r="H62" s="12">
        <f>H34/H25</f>
        <v>0.0021147237642083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v>60</v>
      </c>
      <c r="D64" s="8">
        <v>62</v>
      </c>
      <c r="E64" s="8">
        <v>60</v>
      </c>
      <c r="F64" s="8">
        <v>61</v>
      </c>
      <c r="G64" s="8">
        <v>54</v>
      </c>
      <c r="H64" s="8">
        <v>41</v>
      </c>
    </row>
    <row r="65" spans="1:8" ht="11.25">
      <c r="A65" s="7" t="s">
        <v>58</v>
      </c>
      <c r="B65" s="7"/>
      <c r="C65" s="8">
        <v>4</v>
      </c>
      <c r="D65" s="8">
        <v>4</v>
      </c>
      <c r="E65" s="8">
        <v>4</v>
      </c>
      <c r="F65" s="8">
        <v>4</v>
      </c>
      <c r="G65" s="8">
        <v>4</v>
      </c>
      <c r="H65" s="8">
        <v>3</v>
      </c>
    </row>
    <row r="66" spans="1:8" ht="11.25">
      <c r="A66" s="7" t="s">
        <v>59</v>
      </c>
      <c r="B66" s="7"/>
      <c r="C66" s="8">
        <f aca="true" t="shared" si="16" ref="C66:H66">C11/C64</f>
        <v>606.1</v>
      </c>
      <c r="D66" s="8">
        <f t="shared" si="16"/>
        <v>554.983870967742</v>
      </c>
      <c r="E66" s="8">
        <f t="shared" si="16"/>
        <v>548.3666666666667</v>
      </c>
      <c r="F66" s="8">
        <f t="shared" si="16"/>
        <v>495.59016393442624</v>
      </c>
      <c r="G66" s="8">
        <f t="shared" si="16"/>
        <v>538.0185185185185</v>
      </c>
      <c r="H66" s="8">
        <f t="shared" si="16"/>
        <v>517.5365853658536</v>
      </c>
    </row>
    <row r="67" spans="1:8" ht="11.25">
      <c r="A67" s="7" t="s">
        <v>60</v>
      </c>
      <c r="B67" s="7"/>
      <c r="C67" s="8">
        <f aca="true" t="shared" si="17" ref="C67:H67">C15/C64</f>
        <v>569.8833333333333</v>
      </c>
      <c r="D67" s="8">
        <f t="shared" si="17"/>
        <v>516.8709677419355</v>
      </c>
      <c r="E67" s="8">
        <f t="shared" si="17"/>
        <v>553.6333333333333</v>
      </c>
      <c r="F67" s="8">
        <f t="shared" si="17"/>
        <v>472.24590163934425</v>
      </c>
      <c r="G67" s="8">
        <f t="shared" si="17"/>
        <v>494.98148148148147</v>
      </c>
      <c r="H67" s="8">
        <f t="shared" si="17"/>
        <v>480.6829268292683</v>
      </c>
    </row>
    <row r="68" spans="1:8" ht="11.25">
      <c r="A68" s="3" t="s">
        <v>61</v>
      </c>
      <c r="B68" s="3"/>
      <c r="C68" s="9">
        <f aca="true" t="shared" si="18" ref="C68:H68">C38/C64</f>
        <v>18.833333333333332</v>
      </c>
      <c r="D68" s="9">
        <f t="shared" si="18"/>
        <v>13.64516129032258</v>
      </c>
      <c r="E68" s="9">
        <f t="shared" si="18"/>
        <v>8.35</v>
      </c>
      <c r="F68" s="9">
        <f t="shared" si="18"/>
        <v>3.7540983606557377</v>
      </c>
      <c r="G68" s="9">
        <f t="shared" si="18"/>
        <v>12.444444444444445</v>
      </c>
      <c r="H68" s="9">
        <f t="shared" si="18"/>
        <v>10.902439024390244</v>
      </c>
    </row>
    <row r="69" spans="1:8" ht="11.25">
      <c r="A69" s="5" t="s">
        <v>62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63</v>
      </c>
      <c r="B70" s="7"/>
      <c r="C70" s="10">
        <f>(C9-G9)/G9</f>
        <v>0.22714247811090474</v>
      </c>
      <c r="D70" s="10">
        <f>(D9-36617)/36617</f>
        <v>0.19286123931507224</v>
      </c>
      <c r="E70" s="10">
        <f>(E9-31685)/31685</f>
        <v>0.4150228814896639</v>
      </c>
      <c r="F70" s="10">
        <f>(F9-31814)/31814</f>
        <v>0.24944992770478405</v>
      </c>
      <c r="G70" s="10">
        <f>(G9-H9)/H9</f>
        <v>0.280578961674368</v>
      </c>
      <c r="H70" s="10">
        <f>(H9-19746)/19746</f>
        <v>0.4905297275397549</v>
      </c>
    </row>
    <row r="71" spans="1:8" ht="11.25">
      <c r="A71" s="7" t="s">
        <v>64</v>
      </c>
      <c r="B71" s="7"/>
      <c r="C71" s="10">
        <f>C11/G11-1</f>
        <v>0.2517123877052283</v>
      </c>
      <c r="D71" s="10">
        <f>D11/27283-1</f>
        <v>0.2611882857457024</v>
      </c>
      <c r="E71" s="10">
        <f>E11/25063-1</f>
        <v>0.31277181502613405</v>
      </c>
      <c r="F71" s="10">
        <f>F11/22968-1</f>
        <v>0.31622257053291536</v>
      </c>
      <c r="G71" s="10">
        <f>G11/H11-1</f>
        <v>0.36919741740892587</v>
      </c>
      <c r="H71" s="10">
        <f>H11/11931-1</f>
        <v>0.7784762383706312</v>
      </c>
    </row>
    <row r="72" spans="1:8" ht="11.25">
      <c r="A72" s="7"/>
      <c r="B72" s="7" t="s">
        <v>13</v>
      </c>
      <c r="C72" s="10">
        <f>(C12-G12)/G12</f>
        <v>0.25171238770522836</v>
      </c>
      <c r="D72" s="10">
        <f>(D12-27283)/27283</f>
        <v>0.26118828574570246</v>
      </c>
      <c r="E72" s="10">
        <f>(E12-25063)/25063</f>
        <v>0.31277181502613416</v>
      </c>
      <c r="F72" s="10">
        <f>(F12-22968)/22968</f>
        <v>0.31622257053291536</v>
      </c>
      <c r="G72" s="10">
        <f>(G12-H12)/H12</f>
        <v>0.369197417408926</v>
      </c>
      <c r="H72" s="10">
        <f>(H12-11931)/11931</f>
        <v>0.7784762383706312</v>
      </c>
    </row>
    <row r="73" spans="1:8" ht="11.25">
      <c r="A73" s="7"/>
      <c r="B73" s="7" t="s">
        <v>14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ht="11.25">
      <c r="A74" s="7" t="s">
        <v>65</v>
      </c>
      <c r="B74" s="7"/>
      <c r="C74" s="10">
        <f>C15/G15-1</f>
        <v>0.2792472595308466</v>
      </c>
      <c r="D74" s="10">
        <f>D15/23091-1</f>
        <v>0.3878134338053787</v>
      </c>
      <c r="E74" s="10">
        <f>E15/21592-1</f>
        <v>0.538440163023342</v>
      </c>
      <c r="F74" s="10">
        <f>F15/21588-1</f>
        <v>0.3343987400407633</v>
      </c>
      <c r="G74" s="10">
        <f>G15/H15-1</f>
        <v>0.3562512685203978</v>
      </c>
      <c r="H74" s="10">
        <f>H15/14208-1</f>
        <v>0.3871058558558558</v>
      </c>
    </row>
    <row r="75" spans="1:8" ht="11.25">
      <c r="A75" s="7"/>
      <c r="B75" s="7" t="s">
        <v>13</v>
      </c>
      <c r="C75" s="10">
        <f>(C16-G16)/G16</f>
        <v>0.3553054025129811</v>
      </c>
      <c r="D75" s="10">
        <f>(D16-21591)/21591</f>
        <v>0.484229540086147</v>
      </c>
      <c r="E75" s="10">
        <f>(E16-20092)/20092</f>
        <v>0.578638263985666</v>
      </c>
      <c r="F75" s="10">
        <f>(F16-21588)/21588</f>
        <v>0.26491569390402075</v>
      </c>
      <c r="G75" s="10">
        <f>(G16-H16)/H16</f>
        <v>0.38559973637961337</v>
      </c>
      <c r="H75" s="10">
        <f>(H16-12708)/12708</f>
        <v>0.43279823733081524</v>
      </c>
    </row>
    <row r="76" spans="1:8" ht="11.25">
      <c r="A76" s="7"/>
      <c r="B76" s="7" t="s">
        <v>14</v>
      </c>
      <c r="C76" s="10">
        <f>(C20-G20)/G20</f>
        <v>-1</v>
      </c>
      <c r="D76" s="10">
        <f>(D20-1500)/1500</f>
        <v>-1</v>
      </c>
      <c r="E76" s="10">
        <f>(E20-1500)/1500</f>
        <v>0</v>
      </c>
      <c r="F76" s="10">
        <f>(F20-G20)/G20</f>
        <v>0</v>
      </c>
      <c r="G76" s="10">
        <f>(G20-H20)/H20</f>
        <v>0</v>
      </c>
      <c r="H76" s="10">
        <f>(H20-1500)/1500</f>
        <v>0</v>
      </c>
    </row>
    <row r="77" spans="1:8" ht="11.25">
      <c r="A77" s="7" t="s">
        <v>66</v>
      </c>
      <c r="B77" s="7"/>
      <c r="C77" s="10">
        <f>(C23-G23)/G23</f>
        <v>0.10450600404232553</v>
      </c>
      <c r="D77" s="10">
        <f>(D23-8245)/8245</f>
        <v>0.09217707701637357</v>
      </c>
      <c r="E77" s="10">
        <f>(E23-8001)/8001</f>
        <v>0.0823647044119485</v>
      </c>
      <c r="F77" s="10">
        <f>(F23-7941)/7941</f>
        <v>0.056164211056542</v>
      </c>
      <c r="G77" s="10">
        <f>(G23-H23)/H23</f>
        <v>0.08613119834710743</v>
      </c>
      <c r="H77" s="10">
        <f>(H23-4020)/4020</f>
        <v>0.9263681592039801</v>
      </c>
    </row>
    <row r="78" spans="1:8" ht="11.25">
      <c r="A78" s="3" t="s">
        <v>67</v>
      </c>
      <c r="B78" s="3"/>
      <c r="C78" s="12">
        <f>C38/G38-1</f>
        <v>0.6815476190476191</v>
      </c>
      <c r="D78" s="12">
        <f>D38/463-1</f>
        <v>0.8272138228941686</v>
      </c>
      <c r="E78" s="12">
        <f>E38/220-1</f>
        <v>1.2772727272727273</v>
      </c>
      <c r="F78" s="12">
        <f>F38/166-1</f>
        <v>0.3795180722891567</v>
      </c>
      <c r="G78" s="12">
        <f>(G38-H38)/H38</f>
        <v>0.5033557046979866</v>
      </c>
      <c r="H78" s="12">
        <f>(H38-106)/106</f>
        <v>3.2169811320754715</v>
      </c>
    </row>
    <row r="79" spans="1:8" ht="11.25">
      <c r="A79" s="7"/>
      <c r="B79" s="7"/>
      <c r="C79" s="7"/>
      <c r="D79" s="7"/>
      <c r="E79" s="7"/>
      <c r="F79" s="7"/>
      <c r="G79" s="7"/>
      <c r="H79" s="7"/>
    </row>
    <row r="80" spans="1:8" ht="11.25">
      <c r="A80" s="7"/>
      <c r="B80" s="7"/>
      <c r="C80" s="7"/>
      <c r="D80" s="7"/>
      <c r="E80" s="7"/>
      <c r="F80" s="7"/>
      <c r="G80" s="7"/>
      <c r="H80" s="7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2002-05-02T18:47:56Z</cp:lastPrinted>
  <dcterms:created xsi:type="dcterms:W3CDTF">2002-03-08T15:22:04Z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