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<sst xmlns="http://schemas.openxmlformats.org/spreadsheetml/2006/main" count="80" uniqueCount="68">
  <si>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18-21    GLOBAL BANK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</si>
  <si>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</si>
  <si>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</si>
  <si>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</si>
  <si>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</si>
  <si>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</si>
  <si>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</si>
  <si>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</si>
  <si>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</si>
  <si>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</si>
  <si>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</si>
  <si>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</si>
  <si>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</si>
  <si>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</si>
  <si>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</si>
  <si>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</si>
  <si>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</si>
  <si>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</si>
  <si>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</si>
  <si>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</si>
  <si>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</si>
  <si>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</si>
  <si>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</si>
  <si>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</si>
  <si>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</si>
  <si>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</si>
  <si>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</si>
  <si>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</si>
  <si>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</si>
  <si>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</si>
  <si>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</si>
  <si>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</si>
  <si>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</si>
  <si>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</si>
  <si>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</si>
  <si>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</si>
  <si>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 xml:space="preserve">Préstamos Vencidos / Préstamos Totales 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</si>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</sst>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140625" style="1" customWidth="1"/>
    <col min="2" max="2" width="35.00390625" style="1" customWidth="1"/>
    <col min="3" max="3" width="11.140625" style="1" customWidth="1"/>
    <col min="4" max="4" width="8.7109375" style="1" customWidth="1"/>
    <col min="5" max="5" width="8.57421875" style="1" customWidth="1"/>
    <col min="6" max="6" width="9.00390625" style="1" customWidth="1"/>
    <col min="7" max="7" width="11.57421875" style="1" customWidth="1"/>
    <col min="8" max="8" width="11.7109375" style="1" customWidth="1"/>
    <col min="9" max="16384" width="9.851562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2"/>
      <c r="B6" s="2"/>
      <c r="C6" s="2"/>
      <c r="D6" s="2"/>
      <c r="E6" s="2"/>
      <c r="F6" s="2"/>
      <c r="G6" s="2"/>
      <c r="H6" s="2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534824</v>
      </c>
      <c r="D9" s="7">
        <v>500133</v>
      </c>
      <c r="E9" s="7">
        <v>494767</v>
      </c>
      <c r="F9" s="7">
        <v>432813</v>
      </c>
      <c r="G9" s="7">
        <v>418519</v>
      </c>
      <c r="H9" s="7">
        <v>133886</v>
      </c>
    </row>
    <row r="10" spans="1:8" ht="11.25">
      <c r="A10" s="6" t="s">
        <v>11</v>
      </c>
      <c r="B10" s="6"/>
      <c r="C10" s="7">
        <v>74747</v>
      </c>
      <c r="D10" s="7">
        <v>57175</v>
      </c>
      <c r="E10" s="7">
        <v>88152</v>
      </c>
      <c r="F10" s="7">
        <v>46756</v>
      </c>
      <c r="G10" s="7">
        <v>62652</v>
      </c>
      <c r="H10" s="7">
        <v>23176</v>
      </c>
    </row>
    <row r="11" spans="1:8" ht="11.25">
      <c r="A11" s="6" t="s">
        <v>12</v>
      </c>
      <c r="B11" s="6"/>
      <c r="C11" s="7">
        <f aca="true" t="shared" si="0" ref="C11:H11">C12+C13</f>
        <v>391827</v>
      </c>
      <c r="D11" s="7">
        <f t="shared" si="0"/>
        <v>369741</v>
      </c>
      <c r="E11" s="7">
        <f t="shared" si="0"/>
        <v>343425</v>
      </c>
      <c r="F11" s="7">
        <f t="shared" si="0"/>
        <v>323354</v>
      </c>
      <c r="G11" s="7">
        <f t="shared" si="0"/>
        <v>297965</v>
      </c>
      <c r="H11" s="7">
        <f t="shared" si="0"/>
        <v>93463</v>
      </c>
    </row>
    <row r="12" spans="1:8" ht="11.25">
      <c r="A12" s="6"/>
      <c r="B12" s="6" t="s">
        <v>13</v>
      </c>
      <c r="C12" s="7">
        <v>379818</v>
      </c>
      <c r="D12" s="7">
        <v>359097</v>
      </c>
      <c r="E12" s="7">
        <v>335517</v>
      </c>
      <c r="F12" s="7">
        <v>315723</v>
      </c>
      <c r="G12" s="7">
        <v>291874</v>
      </c>
      <c r="H12" s="7">
        <v>86749</v>
      </c>
    </row>
    <row r="13" spans="1:8" ht="11.25">
      <c r="A13" s="6"/>
      <c r="B13" s="6" t="s">
        <v>14</v>
      </c>
      <c r="C13" s="7">
        <v>12009</v>
      </c>
      <c r="D13" s="7">
        <v>10644</v>
      </c>
      <c r="E13" s="7">
        <v>7908</v>
      </c>
      <c r="F13" s="7">
        <v>7631</v>
      </c>
      <c r="G13" s="7">
        <v>6091</v>
      </c>
      <c r="H13" s="7">
        <v>6714</v>
      </c>
    </row>
    <row r="14" spans="1:8" ht="11.25">
      <c r="A14" s="6" t="s">
        <v>15</v>
      </c>
      <c r="B14" s="6"/>
      <c r="C14" s="7">
        <v>34806</v>
      </c>
      <c r="D14" s="7">
        <v>39981</v>
      </c>
      <c r="E14" s="7">
        <v>31710</v>
      </c>
      <c r="F14" s="7">
        <v>31107</v>
      </c>
      <c r="G14" s="7">
        <v>26153</v>
      </c>
      <c r="H14" s="7">
        <v>9874</v>
      </c>
    </row>
    <row r="15" spans="1:8" ht="11.25">
      <c r="A15" s="6" t="s">
        <v>16</v>
      </c>
      <c r="B15" s="6"/>
      <c r="C15" s="7">
        <f aca="true" t="shared" si="1" ref="C15:H15">C16+C20</f>
        <v>437224</v>
      </c>
      <c r="D15" s="7">
        <f t="shared" si="1"/>
        <v>407592</v>
      </c>
      <c r="E15" s="7">
        <f t="shared" si="1"/>
        <v>407741</v>
      </c>
      <c r="F15" s="7">
        <f t="shared" si="1"/>
        <v>364291</v>
      </c>
      <c r="G15" s="7">
        <f t="shared" si="1"/>
        <v>345937</v>
      </c>
      <c r="H15" s="7">
        <f t="shared" si="1"/>
        <v>100260</v>
      </c>
    </row>
    <row r="16" spans="1:8" ht="11.25">
      <c r="A16" s="6"/>
      <c r="B16" s="6" t="s">
        <v>13</v>
      </c>
      <c r="C16" s="7">
        <f aca="true" t="shared" si="2" ref="C16:H16">SUM(C17:C19)</f>
        <v>419491</v>
      </c>
      <c r="D16" s="7">
        <f t="shared" si="2"/>
        <v>390487</v>
      </c>
      <c r="E16" s="7">
        <f t="shared" si="2"/>
        <v>396043</v>
      </c>
      <c r="F16" s="7">
        <f t="shared" si="2"/>
        <v>343164</v>
      </c>
      <c r="G16" s="7">
        <f t="shared" si="2"/>
        <v>336580</v>
      </c>
      <c r="H16" s="7">
        <f t="shared" si="2"/>
        <v>96667</v>
      </c>
    </row>
    <row r="17" spans="1:8" ht="11.25">
      <c r="A17" s="6"/>
      <c r="B17" s="6" t="s">
        <v>17</v>
      </c>
      <c r="C17" s="7"/>
      <c r="D17" s="7"/>
      <c r="E17" s="7">
        <v>0</v>
      </c>
      <c r="F17" s="7">
        <v>0</v>
      </c>
      <c r="G17" s="7">
        <v>0</v>
      </c>
      <c r="H17" s="7">
        <v>0</v>
      </c>
    </row>
    <row r="18" spans="1:8" ht="11.25">
      <c r="A18" s="6"/>
      <c r="B18" s="6" t="s">
        <v>18</v>
      </c>
      <c r="C18" s="7">
        <v>348542</v>
      </c>
      <c r="D18" s="7">
        <v>340831</v>
      </c>
      <c r="E18" s="7">
        <v>332473</v>
      </c>
      <c r="F18" s="7">
        <v>308874</v>
      </c>
      <c r="G18" s="7">
        <v>294523</v>
      </c>
      <c r="H18" s="7">
        <v>82761</v>
      </c>
    </row>
    <row r="19" spans="1:8" ht="11.25">
      <c r="A19" s="6"/>
      <c r="B19" s="6" t="s">
        <v>19</v>
      </c>
      <c r="C19" s="7">
        <v>70949</v>
      </c>
      <c r="D19" s="7">
        <v>49656</v>
      </c>
      <c r="E19" s="7">
        <v>63570</v>
      </c>
      <c r="F19" s="7">
        <v>34290</v>
      </c>
      <c r="G19" s="7">
        <v>42057</v>
      </c>
      <c r="H19" s="7">
        <v>13906</v>
      </c>
    </row>
    <row r="20" spans="1:8" ht="11.25">
      <c r="A20" s="6"/>
      <c r="B20" s="6" t="s">
        <v>14</v>
      </c>
      <c r="C20" s="7">
        <f aca="true" t="shared" si="3" ref="C20:H20">SUM(C21:C22)</f>
        <v>17733</v>
      </c>
      <c r="D20" s="7">
        <f t="shared" si="3"/>
        <v>17105</v>
      </c>
      <c r="E20" s="7">
        <f t="shared" si="3"/>
        <v>11698</v>
      </c>
      <c r="F20" s="7">
        <f t="shared" si="3"/>
        <v>21127</v>
      </c>
      <c r="G20" s="7">
        <f t="shared" si="3"/>
        <v>9357</v>
      </c>
      <c r="H20" s="7">
        <f t="shared" si="3"/>
        <v>3593</v>
      </c>
    </row>
    <row r="21" spans="1:8" ht="11.25">
      <c r="A21" s="6"/>
      <c r="B21" s="6" t="s">
        <v>18</v>
      </c>
      <c r="C21" s="7">
        <v>9907</v>
      </c>
      <c r="D21" s="7">
        <v>9297</v>
      </c>
      <c r="E21" s="7">
        <v>8940</v>
      </c>
      <c r="F21" s="7">
        <v>7891</v>
      </c>
      <c r="G21" s="7">
        <v>7071</v>
      </c>
      <c r="H21" s="7">
        <v>2159</v>
      </c>
    </row>
    <row r="22" spans="1:8" ht="11.25">
      <c r="A22" s="6"/>
      <c r="B22" s="6" t="s">
        <v>19</v>
      </c>
      <c r="C22" s="7">
        <v>7826</v>
      </c>
      <c r="D22" s="7">
        <v>7808</v>
      </c>
      <c r="E22" s="7">
        <v>2758</v>
      </c>
      <c r="F22" s="7">
        <v>13236</v>
      </c>
      <c r="G22" s="7">
        <v>2286</v>
      </c>
      <c r="H22" s="7">
        <v>1434</v>
      </c>
    </row>
    <row r="23" spans="1:8" ht="11.25">
      <c r="A23" s="2" t="s">
        <v>20</v>
      </c>
      <c r="B23" s="2"/>
      <c r="C23" s="8">
        <v>41555</v>
      </c>
      <c r="D23" s="8">
        <v>41324</v>
      </c>
      <c r="E23" s="8">
        <v>38740</v>
      </c>
      <c r="F23" s="8">
        <v>38343</v>
      </c>
      <c r="G23" s="8">
        <v>36610</v>
      </c>
      <c r="H23" s="8">
        <v>12230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f>+(C9+G9)/2</f>
        <v>476671.5</v>
      </c>
      <c r="D25" s="7">
        <v>352206</v>
      </c>
      <c r="E25" s="7">
        <v>357683</v>
      </c>
      <c r="F25" s="7">
        <v>288109</v>
      </c>
      <c r="G25" s="7">
        <f>(G9+H9)/2</f>
        <v>276202.5</v>
      </c>
      <c r="H25" s="7">
        <v>121612</v>
      </c>
    </row>
    <row r="26" spans="1:8" ht="11.25">
      <c r="A26" s="6" t="s">
        <v>22</v>
      </c>
      <c r="B26" s="6"/>
      <c r="C26" s="7">
        <f aca="true" t="shared" si="4" ref="C26:H26">C27+C28</f>
        <v>375375.5</v>
      </c>
      <c r="D26" s="7">
        <f t="shared" si="4"/>
        <v>283880</v>
      </c>
      <c r="E26" s="7">
        <f t="shared" si="4"/>
        <v>263033</v>
      </c>
      <c r="F26" s="7">
        <f t="shared" si="4"/>
        <v>236879</v>
      </c>
      <c r="G26" s="7">
        <f t="shared" si="4"/>
        <v>213727.5</v>
      </c>
      <c r="H26" s="7">
        <f t="shared" si="4"/>
        <v>91085</v>
      </c>
    </row>
    <row r="27" spans="1:8" ht="11.25">
      <c r="A27" s="6"/>
      <c r="B27" s="6" t="s">
        <v>12</v>
      </c>
      <c r="C27" s="7">
        <f>+(C11+G11)/2</f>
        <v>344896</v>
      </c>
      <c r="D27" s="7">
        <v>244196</v>
      </c>
      <c r="E27" s="7">
        <v>227915</v>
      </c>
      <c r="F27" s="7">
        <v>215414</v>
      </c>
      <c r="G27" s="7">
        <f>(G11+H11)/2</f>
        <v>195714</v>
      </c>
      <c r="H27" s="7">
        <v>82487</v>
      </c>
    </row>
    <row r="28" spans="1:8" ht="11.25">
      <c r="A28" s="6"/>
      <c r="B28" s="6" t="s">
        <v>15</v>
      </c>
      <c r="C28" s="7">
        <f>+(C14+G14)/2</f>
        <v>30479.5</v>
      </c>
      <c r="D28" s="7">
        <v>39684</v>
      </c>
      <c r="E28" s="7">
        <v>35118</v>
      </c>
      <c r="F28" s="7">
        <v>21465</v>
      </c>
      <c r="G28" s="7">
        <f>(G14+H14)/2</f>
        <v>18013.5</v>
      </c>
      <c r="H28" s="7">
        <v>8598</v>
      </c>
    </row>
    <row r="29" spans="1:8" ht="11.25">
      <c r="A29" s="2" t="s">
        <v>20</v>
      </c>
      <c r="B29" s="2"/>
      <c r="C29" s="8">
        <f>+(C23+G23)/2</f>
        <v>39082.5</v>
      </c>
      <c r="D29" s="8">
        <v>32237</v>
      </c>
      <c r="E29" s="8">
        <v>30845</v>
      </c>
      <c r="F29" s="8">
        <v>25488</v>
      </c>
      <c r="G29" s="8">
        <f>(G23+H23)/2</f>
        <v>24420</v>
      </c>
      <c r="H29" s="8">
        <v>11294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v>44948</v>
      </c>
      <c r="D31" s="7">
        <v>32801</v>
      </c>
      <c r="E31" s="7">
        <v>21251</v>
      </c>
      <c r="F31" s="7">
        <v>9914</v>
      </c>
      <c r="G31" s="7">
        <v>19420</v>
      </c>
      <c r="H31" s="7">
        <v>9403</v>
      </c>
    </row>
    <row r="32" spans="1:8" ht="11.25">
      <c r="A32" s="6" t="s">
        <v>25</v>
      </c>
      <c r="B32" s="6"/>
      <c r="C32" s="7">
        <v>32216</v>
      </c>
      <c r="D32" s="7">
        <v>23028</v>
      </c>
      <c r="E32" s="7">
        <v>14764</v>
      </c>
      <c r="F32" s="7">
        <v>6897</v>
      </c>
      <c r="G32" s="7">
        <v>13721</v>
      </c>
      <c r="H32" s="7">
        <v>6693</v>
      </c>
    </row>
    <row r="33" spans="1:8" ht="11.25">
      <c r="A33" s="6" t="s">
        <v>26</v>
      </c>
      <c r="B33" s="6"/>
      <c r="C33" s="7">
        <f aca="true" t="shared" si="5" ref="C33:H33">C31-C32</f>
        <v>12732</v>
      </c>
      <c r="D33" s="7">
        <f t="shared" si="5"/>
        <v>9773</v>
      </c>
      <c r="E33" s="7">
        <f t="shared" si="5"/>
        <v>6487</v>
      </c>
      <c r="F33" s="7">
        <f t="shared" si="5"/>
        <v>3017</v>
      </c>
      <c r="G33" s="7">
        <f t="shared" si="5"/>
        <v>5699</v>
      </c>
      <c r="H33" s="7">
        <f t="shared" si="5"/>
        <v>2710</v>
      </c>
    </row>
    <row r="34" spans="1:8" ht="11.25">
      <c r="A34" s="6" t="s">
        <v>27</v>
      </c>
      <c r="B34" s="6"/>
      <c r="C34" s="7">
        <v>11912</v>
      </c>
      <c r="D34" s="7">
        <v>7728</v>
      </c>
      <c r="E34" s="7">
        <v>5381</v>
      </c>
      <c r="F34" s="7">
        <v>2683</v>
      </c>
      <c r="G34" s="7">
        <v>2764</v>
      </c>
      <c r="H34" s="7">
        <v>2096</v>
      </c>
    </row>
    <row r="35" spans="1:8" ht="11.25">
      <c r="A35" s="6" t="s">
        <v>28</v>
      </c>
      <c r="B35" s="6"/>
      <c r="C35" s="7">
        <f aca="true" t="shared" si="6" ref="C35:H35">C33+C34</f>
        <v>24644</v>
      </c>
      <c r="D35" s="7">
        <f t="shared" si="6"/>
        <v>17501</v>
      </c>
      <c r="E35" s="7">
        <f t="shared" si="6"/>
        <v>11868</v>
      </c>
      <c r="F35" s="7">
        <f t="shared" si="6"/>
        <v>5700</v>
      </c>
      <c r="G35" s="7">
        <f t="shared" si="6"/>
        <v>8463</v>
      </c>
      <c r="H35" s="7">
        <f t="shared" si="6"/>
        <v>4806</v>
      </c>
    </row>
    <row r="36" spans="1:8" ht="11.25">
      <c r="A36" s="6" t="s">
        <v>29</v>
      </c>
      <c r="B36" s="6"/>
      <c r="C36" s="7">
        <v>14043</v>
      </c>
      <c r="D36" s="7">
        <v>10479</v>
      </c>
      <c r="E36" s="7">
        <v>7126</v>
      </c>
      <c r="F36" s="7">
        <v>3455</v>
      </c>
      <c r="G36" s="7">
        <v>6457</v>
      </c>
      <c r="H36" s="7">
        <v>3179</v>
      </c>
    </row>
    <row r="37" spans="1:8" ht="11.25">
      <c r="A37" s="6" t="s">
        <v>30</v>
      </c>
      <c r="B37" s="6"/>
      <c r="C37" s="7">
        <f aca="true" t="shared" si="7" ref="C37:H37">C35-C36</f>
        <v>10601</v>
      </c>
      <c r="D37" s="7">
        <f t="shared" si="7"/>
        <v>7022</v>
      </c>
      <c r="E37" s="7">
        <f t="shared" si="7"/>
        <v>4742</v>
      </c>
      <c r="F37" s="7">
        <f t="shared" si="7"/>
        <v>2245</v>
      </c>
      <c r="G37" s="7">
        <f t="shared" si="7"/>
        <v>2006</v>
      </c>
      <c r="H37" s="7">
        <f t="shared" si="7"/>
        <v>1627</v>
      </c>
    </row>
    <row r="38" spans="1:8" ht="11.25">
      <c r="A38" s="2" t="s">
        <v>31</v>
      </c>
      <c r="B38" s="2"/>
      <c r="C38" s="8">
        <v>6256</v>
      </c>
      <c r="D38" s="8">
        <v>5023</v>
      </c>
      <c r="E38" s="8">
        <v>3641</v>
      </c>
      <c r="F38" s="8">
        <v>1733</v>
      </c>
      <c r="G38" s="8">
        <v>1482</v>
      </c>
      <c r="H38" s="8">
        <v>1506</v>
      </c>
    </row>
    <row r="39" spans="1:8" ht="11.25">
      <c r="A39" s="4" t="s">
        <v>32</v>
      </c>
      <c r="B39" s="6"/>
      <c r="C39" s="6"/>
      <c r="D39" s="6"/>
      <c r="E39" s="6"/>
      <c r="F39" s="6"/>
      <c r="G39" s="6"/>
      <c r="H39" s="6"/>
    </row>
    <row r="40" spans="1:8" ht="11.25">
      <c r="A40" s="6" t="s">
        <v>33</v>
      </c>
      <c r="B40" s="6"/>
      <c r="C40" s="7">
        <v>2136</v>
      </c>
      <c r="D40" s="7">
        <v>10745</v>
      </c>
      <c r="E40" s="7">
        <v>7932</v>
      </c>
      <c r="F40" s="7">
        <v>10667</v>
      </c>
      <c r="G40" s="7">
        <v>6343</v>
      </c>
      <c r="H40" s="7">
        <v>0</v>
      </c>
    </row>
    <row r="41" spans="1:8" ht="11.25">
      <c r="A41" s="6" t="s">
        <v>34</v>
      </c>
      <c r="B41" s="6"/>
      <c r="C41" s="7">
        <v>8686</v>
      </c>
      <c r="D41" s="7">
        <v>0</v>
      </c>
      <c r="E41" s="7">
        <v>4973</v>
      </c>
      <c r="F41" s="7">
        <v>11909</v>
      </c>
      <c r="G41" s="7">
        <v>19500</v>
      </c>
      <c r="H41" s="7">
        <v>302</v>
      </c>
    </row>
    <row r="42" spans="1:8" ht="11.25">
      <c r="A42" s="6" t="s">
        <v>35</v>
      </c>
      <c r="B42" s="6"/>
      <c r="C42" s="9">
        <f aca="true" t="shared" si="8" ref="C42:H42">C40/C11</f>
        <v>0.005451385432856847</v>
      </c>
      <c r="D42" s="9">
        <f t="shared" si="8"/>
        <v>0.029060883158751667</v>
      </c>
      <c r="E42" s="9">
        <f t="shared" si="8"/>
        <v>0.023096746014413628</v>
      </c>
      <c r="F42" s="9">
        <f t="shared" si="8"/>
        <v>0.03298861309895656</v>
      </c>
      <c r="G42" s="9">
        <f t="shared" si="8"/>
        <v>0.021287735136677127</v>
      </c>
      <c r="H42" s="9">
        <f t="shared" si="8"/>
        <v>0</v>
      </c>
    </row>
    <row r="43" spans="1:8" ht="11.25">
      <c r="A43" s="6" t="s">
        <v>36</v>
      </c>
      <c r="B43" s="6"/>
      <c r="C43" s="9">
        <f aca="true" t="shared" si="9" ref="C43:H43">C41/C11</f>
        <v>0.022167946568255888</v>
      </c>
      <c r="D43" s="9">
        <f t="shared" si="9"/>
        <v>0</v>
      </c>
      <c r="E43" s="9">
        <f t="shared" si="9"/>
        <v>0.014480599839848583</v>
      </c>
      <c r="F43" s="9">
        <f t="shared" si="9"/>
        <v>0.03682960470567861</v>
      </c>
      <c r="G43" s="9">
        <f t="shared" si="9"/>
        <v>0.06544392797811824</v>
      </c>
      <c r="H43" s="9">
        <f t="shared" si="9"/>
        <v>0.0032312251907171824</v>
      </c>
    </row>
    <row r="44" spans="1:8" ht="11.25">
      <c r="A44" s="10" t="s">
        <v>37</v>
      </c>
      <c r="B44" s="6"/>
      <c r="C44" s="9">
        <f aca="true" t="shared" si="10" ref="C44:H44">(C40+C41)/C11</f>
        <v>0.027619332001112735</v>
      </c>
      <c r="D44" s="9">
        <f t="shared" si="10"/>
        <v>0.029060883158751667</v>
      </c>
      <c r="E44" s="9">
        <f t="shared" si="10"/>
        <v>0.037577345854262215</v>
      </c>
      <c r="F44" s="9">
        <f t="shared" si="10"/>
        <v>0.06981821780463517</v>
      </c>
      <c r="G44" s="9">
        <f t="shared" si="10"/>
        <v>0.08673166311479537</v>
      </c>
      <c r="H44" s="9">
        <f t="shared" si="10"/>
        <v>0.0032312251907171824</v>
      </c>
    </row>
    <row r="45" spans="1:8" ht="11.25">
      <c r="A45" s="6" t="s">
        <v>38</v>
      </c>
      <c r="B45" s="6"/>
      <c r="C45" s="9">
        <v>0.01</v>
      </c>
      <c r="D45" s="9">
        <v>0.0109</v>
      </c>
      <c r="E45" s="9">
        <v>0.0129</v>
      </c>
      <c r="F45" s="9">
        <v>0.0122</v>
      </c>
      <c r="G45" s="9">
        <v>0.0121</v>
      </c>
      <c r="H45" s="9">
        <v>0.0031</v>
      </c>
    </row>
    <row r="46" spans="1:8" ht="11.25">
      <c r="A46" s="2" t="s">
        <v>39</v>
      </c>
      <c r="B46" s="2"/>
      <c r="C46" s="11">
        <v>0.3607</v>
      </c>
      <c r="D46" s="11">
        <v>0.3764</v>
      </c>
      <c r="E46" s="11">
        <v>0.3421</v>
      </c>
      <c r="F46" s="11">
        <v>0.1751</v>
      </c>
      <c r="G46" s="11">
        <v>0.1393</v>
      </c>
      <c r="H46" s="11">
        <v>0.9635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C23/(C11+C14)</f>
        <v>0.09740221689367677</v>
      </c>
      <c r="D48" s="9">
        <f t="shared" si="11"/>
        <v>0.10085863097417273</v>
      </c>
      <c r="E48" s="9">
        <f t="shared" si="11"/>
        <v>0.10326948965039252</v>
      </c>
      <c r="F48" s="9">
        <f t="shared" si="11"/>
        <v>0.10817269036650012</v>
      </c>
      <c r="G48" s="9">
        <f t="shared" si="11"/>
        <v>0.11295269006966599</v>
      </c>
      <c r="H48" s="9">
        <f t="shared" si="11"/>
        <v>0.11835063917086813</v>
      </c>
    </row>
    <row r="49" spans="1:8" ht="11.25">
      <c r="A49" s="2" t="s">
        <v>42</v>
      </c>
      <c r="B49" s="2"/>
      <c r="C49" s="11">
        <f aca="true" t="shared" si="12" ref="C49:H49">C23/C11</f>
        <v>0.10605445770710033</v>
      </c>
      <c r="D49" s="11">
        <f t="shared" si="12"/>
        <v>0.1117647217917407</v>
      </c>
      <c r="E49" s="11">
        <f t="shared" si="12"/>
        <v>0.11280483366091577</v>
      </c>
      <c r="F49" s="11">
        <f t="shared" si="12"/>
        <v>0.11857901866066292</v>
      </c>
      <c r="G49" s="11">
        <f t="shared" si="12"/>
        <v>0.12286677965532865</v>
      </c>
      <c r="H49" s="11">
        <f t="shared" si="12"/>
        <v>0.13085392080288458</v>
      </c>
    </row>
    <row r="50" spans="1:8" ht="11.25">
      <c r="A50" s="4" t="s">
        <v>43</v>
      </c>
      <c r="B50" s="6"/>
      <c r="C50" s="6"/>
      <c r="D50" s="6"/>
      <c r="E50" s="6"/>
      <c r="F50" s="6"/>
      <c r="G50" s="6"/>
      <c r="H50" s="6"/>
    </row>
    <row r="51" spans="1:8" ht="11.25">
      <c r="A51" s="6" t="s">
        <v>44</v>
      </c>
      <c r="B51" s="6"/>
      <c r="C51" s="12">
        <f aca="true" t="shared" si="13" ref="C51:H51">C10/C15</f>
        <v>0.17095813587543227</v>
      </c>
      <c r="D51" s="12">
        <f t="shared" si="13"/>
        <v>0.1402750790005692</v>
      </c>
      <c r="E51" s="12">
        <f t="shared" si="13"/>
        <v>0.21619606563970756</v>
      </c>
      <c r="F51" s="12">
        <f t="shared" si="13"/>
        <v>0.128347941618102</v>
      </c>
      <c r="G51" s="12">
        <f t="shared" si="13"/>
        <v>0.18110812084281241</v>
      </c>
      <c r="H51" s="12">
        <f t="shared" si="13"/>
        <v>0.23115898663474965</v>
      </c>
    </row>
    <row r="52" spans="1:8" ht="11.25">
      <c r="A52" s="6" t="s">
        <v>45</v>
      </c>
      <c r="B52" s="6"/>
      <c r="C52" s="12">
        <f aca="true" t="shared" si="14" ref="C52:H52">C10/C9</f>
        <v>0.13975999581170628</v>
      </c>
      <c r="D52" s="12">
        <f t="shared" si="14"/>
        <v>0.11431959098879697</v>
      </c>
      <c r="E52" s="12">
        <f t="shared" si="14"/>
        <v>0.17816871375819324</v>
      </c>
      <c r="F52" s="12">
        <f t="shared" si="14"/>
        <v>0.10802817845120179</v>
      </c>
      <c r="G52" s="12">
        <f t="shared" si="14"/>
        <v>0.1496992968061187</v>
      </c>
      <c r="H52" s="12">
        <f t="shared" si="14"/>
        <v>0.1731024901782113</v>
      </c>
    </row>
    <row r="53" spans="1:8" ht="11.25">
      <c r="A53" s="2" t="s">
        <v>46</v>
      </c>
      <c r="B53" s="2"/>
      <c r="C53" s="13">
        <f aca="true" t="shared" si="15" ref="C53:H53">(C10+C14)/C15</f>
        <v>0.2505649278173202</v>
      </c>
      <c r="D53" s="13">
        <f t="shared" si="15"/>
        <v>0.23836581679718935</v>
      </c>
      <c r="E53" s="13">
        <f t="shared" si="15"/>
        <v>0.2939660225486277</v>
      </c>
      <c r="F53" s="13">
        <f t="shared" si="15"/>
        <v>0.2137384673241996</v>
      </c>
      <c r="G53" s="13">
        <f t="shared" si="15"/>
        <v>0.256708591448732</v>
      </c>
      <c r="H53" s="13">
        <f t="shared" si="15"/>
        <v>0.3296429283861959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9">
        <f>(C38)/C26</f>
        <v>0.01666597846689515</v>
      </c>
      <c r="D55" s="9">
        <f>((D38)/0.75)/D26</f>
        <v>0.02359212812925649</v>
      </c>
      <c r="E55" s="9">
        <f>((E38)/0.5)/E26</f>
        <v>0.027684739177213504</v>
      </c>
      <c r="F55" s="9">
        <f>((F38)/0.25)/F26</f>
        <v>0.029263885781348285</v>
      </c>
      <c r="G55" s="9">
        <f>G38/G26</f>
        <v>0.006934063234726462</v>
      </c>
      <c r="H55" s="9">
        <f>H38/H26</f>
        <v>0.016534006697041224</v>
      </c>
    </row>
    <row r="56" spans="1:8" ht="11.25">
      <c r="A56" s="6" t="s">
        <v>49</v>
      </c>
      <c r="B56" s="6"/>
      <c r="C56" s="9">
        <f>(C38)/C25</f>
        <v>0.0131243424454787</v>
      </c>
      <c r="D56" s="9">
        <f>((D38)/0.75)/D25</f>
        <v>0.01901538682854163</v>
      </c>
      <c r="E56" s="9">
        <f>((E38)/0.5)/E25</f>
        <v>0.020358809336759084</v>
      </c>
      <c r="F56" s="9">
        <f>((F38)/0.25)/F25</f>
        <v>0.02406033827475018</v>
      </c>
      <c r="G56" s="9">
        <f>G38/G25</f>
        <v>0.005365628479105005</v>
      </c>
      <c r="H56" s="9">
        <f>H38/H25</f>
        <v>0.012383646350689077</v>
      </c>
    </row>
    <row r="57" spans="1:8" ht="11.25">
      <c r="A57" s="6" t="s">
        <v>50</v>
      </c>
      <c r="B57" s="6"/>
      <c r="C57" s="9">
        <f>(C38)/C29</f>
        <v>0.16007164331862087</v>
      </c>
      <c r="D57" s="9">
        <f>((D38)/0.75)/D29</f>
        <v>0.20775299603974728</v>
      </c>
      <c r="E57" s="9">
        <f>((E38)/0.5)/E29</f>
        <v>0.23608364402658455</v>
      </c>
      <c r="F57" s="9">
        <f>((F38)/0.25)/F29</f>
        <v>0.2719711236660389</v>
      </c>
      <c r="G57" s="9">
        <f>G38/G29</f>
        <v>0.06068796068796069</v>
      </c>
      <c r="H57" s="9">
        <f>H38/H29</f>
        <v>0.1333451390118647</v>
      </c>
    </row>
    <row r="58" spans="1:8" ht="11.25">
      <c r="A58" s="6" t="s">
        <v>51</v>
      </c>
      <c r="B58" s="6"/>
      <c r="C58" s="9">
        <f>(C31)/C25</f>
        <v>0.09429554735284153</v>
      </c>
      <c r="D58" s="9">
        <f>((D31)/0.75)/D25</f>
        <v>0.12417354237766155</v>
      </c>
      <c r="E58" s="9">
        <f>((E31)/0.5)/E25</f>
        <v>0.11882588772740107</v>
      </c>
      <c r="F58" s="9">
        <f>((F31)/0.25)/F25</f>
        <v>0.13764235063812655</v>
      </c>
      <c r="G58" s="9">
        <f>G31/G25</f>
        <v>0.07031073216209122</v>
      </c>
      <c r="H58" s="9">
        <f>H31/H25</f>
        <v>0.07731967240074993</v>
      </c>
    </row>
    <row r="59" spans="1:8" ht="11.25">
      <c r="A59" s="6" t="s">
        <v>52</v>
      </c>
      <c r="B59" s="6"/>
      <c r="C59" s="9">
        <f>(C32)/C25</f>
        <v>0.06758532868023366</v>
      </c>
      <c r="D59" s="9">
        <f>((D32)/0.75)/D25</f>
        <v>0.08717625480542637</v>
      </c>
      <c r="E59" s="9">
        <f>((E32)/0.5)/E25</f>
        <v>0.08255354601700389</v>
      </c>
      <c r="F59" s="9">
        <f>((F32)/0.25)/F25</f>
        <v>0.09575542589783728</v>
      </c>
      <c r="G59" s="9">
        <f>G32/G25</f>
        <v>0.049677320082186074</v>
      </c>
      <c r="H59" s="9">
        <f>H32/H25</f>
        <v>0.055035687267703845</v>
      </c>
    </row>
    <row r="60" spans="1:8" ht="11.25">
      <c r="A60" s="6" t="s">
        <v>53</v>
      </c>
      <c r="B60" s="6"/>
      <c r="C60" s="9">
        <f>(C33)/C25</f>
        <v>0.026710218672607866</v>
      </c>
      <c r="D60" s="9">
        <f>((D33)/0.75)/D25</f>
        <v>0.03699728757223519</v>
      </c>
      <c r="E60" s="9">
        <f>((E33)/0.5)/E25</f>
        <v>0.03627234171039719</v>
      </c>
      <c r="F60" s="9">
        <f>((F33)/0.25)/F25</f>
        <v>0.041886924740289266</v>
      </c>
      <c r="G60" s="9">
        <f>G33/G25</f>
        <v>0.020633412079905142</v>
      </c>
      <c r="H60" s="9">
        <f>H33/H25</f>
        <v>0.02228398513304608</v>
      </c>
    </row>
    <row r="61" spans="1:8" ht="11.25">
      <c r="A61" s="6" t="s">
        <v>54</v>
      </c>
      <c r="B61" s="6"/>
      <c r="C61" s="9">
        <f>(C36)/(C35)</f>
        <v>0.5698344424606395</v>
      </c>
      <c r="D61" s="9">
        <f>((D36)/0.75)/((D35)/0.75)</f>
        <v>0.5987657848122964</v>
      </c>
      <c r="E61" s="9">
        <f>((E36)/0.5)/((E35)/0.5)</f>
        <v>0.600438153016515</v>
      </c>
      <c r="F61" s="9">
        <f>(F36/0.25)/(F35/0.25)</f>
        <v>0.606140350877193</v>
      </c>
      <c r="G61" s="9">
        <f>G36/G35</f>
        <v>0.7629682145811179</v>
      </c>
      <c r="H61" s="9">
        <f>H36/H35</f>
        <v>0.661464835622139</v>
      </c>
    </row>
    <row r="62" spans="1:8" ht="11.25">
      <c r="A62" s="2" t="s">
        <v>55</v>
      </c>
      <c r="B62" s="2"/>
      <c r="C62" s="11">
        <f>(C34)/C25</f>
        <v>0.024989956395547037</v>
      </c>
      <c r="D62" s="11">
        <f>((D34)/0.75)/D25</f>
        <v>0.029255606094160804</v>
      </c>
      <c r="E62" s="11">
        <f>((E34)/0.5)/E25</f>
        <v>0.03008809476547669</v>
      </c>
      <c r="F62" s="11">
        <f>(F34/0.255)/F25</f>
        <v>0.03651940282133145</v>
      </c>
      <c r="G62" s="11">
        <f>G34/G25</f>
        <v>0.010007150550773437</v>
      </c>
      <c r="H62" s="11">
        <f>H34/H25</f>
        <v>0.017235141268953723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v>350</v>
      </c>
      <c r="D64" s="7">
        <v>341</v>
      </c>
      <c r="E64" s="7">
        <v>360</v>
      </c>
      <c r="F64" s="7">
        <v>347</v>
      </c>
      <c r="G64" s="7">
        <v>334</v>
      </c>
      <c r="H64" s="7">
        <v>299</v>
      </c>
    </row>
    <row r="65" spans="1:8" ht="11.25">
      <c r="A65" s="6" t="s">
        <v>58</v>
      </c>
      <c r="B65" s="6"/>
      <c r="C65" s="7">
        <v>18</v>
      </c>
      <c r="D65" s="7">
        <v>18</v>
      </c>
      <c r="E65" s="7">
        <v>18</v>
      </c>
      <c r="F65" s="7">
        <v>18</v>
      </c>
      <c r="G65" s="7">
        <v>18</v>
      </c>
      <c r="H65" s="7">
        <v>18</v>
      </c>
    </row>
    <row r="66" spans="1:8" ht="11.25">
      <c r="A66" s="6" t="s">
        <v>59</v>
      </c>
      <c r="B66" s="6"/>
      <c r="C66" s="7">
        <f aca="true" t="shared" si="16" ref="C66:H66">C11/C64</f>
        <v>1119.5057142857142</v>
      </c>
      <c r="D66" s="7">
        <f t="shared" si="16"/>
        <v>1084.2844574780058</v>
      </c>
      <c r="E66" s="7">
        <f t="shared" si="16"/>
        <v>953.9583333333334</v>
      </c>
      <c r="F66" s="7">
        <f t="shared" si="16"/>
        <v>931.8559077809798</v>
      </c>
      <c r="G66" s="7">
        <f t="shared" si="16"/>
        <v>892.1107784431138</v>
      </c>
      <c r="H66" s="7">
        <f t="shared" si="16"/>
        <v>312.58528428093643</v>
      </c>
    </row>
    <row r="67" spans="1:8" ht="11.25">
      <c r="A67" s="6" t="s">
        <v>60</v>
      </c>
      <c r="B67" s="6"/>
      <c r="C67" s="7">
        <f aca="true" t="shared" si="17" ref="C67:H67">C15/C64</f>
        <v>1249.2114285714285</v>
      </c>
      <c r="D67" s="7">
        <f t="shared" si="17"/>
        <v>1195.2844574780058</v>
      </c>
      <c r="E67" s="7">
        <f t="shared" si="17"/>
        <v>1132.6138888888888</v>
      </c>
      <c r="F67" s="7">
        <f t="shared" si="17"/>
        <v>1049.8299711815562</v>
      </c>
      <c r="G67" s="7">
        <f t="shared" si="17"/>
        <v>1035.7395209580839</v>
      </c>
      <c r="H67" s="7">
        <f t="shared" si="17"/>
        <v>335.31772575250835</v>
      </c>
    </row>
    <row r="68" spans="1:8" ht="11.25">
      <c r="A68" s="2" t="s">
        <v>61</v>
      </c>
      <c r="B68" s="2"/>
      <c r="C68" s="8">
        <f aca="true" t="shared" si="18" ref="C68:H68">C38/C64</f>
        <v>17.874285714285715</v>
      </c>
      <c r="D68" s="8">
        <f t="shared" si="18"/>
        <v>14.730205278592376</v>
      </c>
      <c r="E68" s="8">
        <f t="shared" si="18"/>
        <v>10.113888888888889</v>
      </c>
      <c r="F68" s="8">
        <f t="shared" si="18"/>
        <v>4.994236311239193</v>
      </c>
      <c r="G68" s="8">
        <f t="shared" si="18"/>
        <v>4.437125748502994</v>
      </c>
      <c r="H68" s="8">
        <f t="shared" si="18"/>
        <v>5.036789297658863</v>
      </c>
    </row>
    <row r="69" spans="1:8" ht="11.25">
      <c r="A69" s="4" t="s">
        <v>62</v>
      </c>
      <c r="B69" s="6"/>
      <c r="C69" s="6"/>
      <c r="D69" s="6"/>
      <c r="E69" s="6"/>
      <c r="F69" s="6"/>
      <c r="G69" s="6"/>
      <c r="H69" s="6"/>
    </row>
    <row r="70" spans="1:8" ht="11.25">
      <c r="A70" s="6" t="s">
        <v>63</v>
      </c>
      <c r="B70" s="6"/>
      <c r="C70" s="9">
        <f>(C9-G9)/G9</f>
        <v>0.27789658295083375</v>
      </c>
      <c r="D70" s="9">
        <f>(D9-204280)/204280</f>
        <v>1.448271979635794</v>
      </c>
      <c r="E70" s="9">
        <f>(E9-220579)/220579</f>
        <v>1.2430376418426052</v>
      </c>
      <c r="F70" s="9">
        <f>(F9-143405)/143405</f>
        <v>2.018116523133782</v>
      </c>
      <c r="G70" s="9">
        <f>(G9-H9)/H9</f>
        <v>2.125935497363429</v>
      </c>
      <c r="H70" s="9">
        <f>(H9-109339)/109339</f>
        <v>0.224503608044705</v>
      </c>
    </row>
    <row r="71" spans="1:8" ht="11.25">
      <c r="A71" s="6" t="s">
        <v>64</v>
      </c>
      <c r="B71" s="6"/>
      <c r="C71" s="9">
        <f>C11/G11-1</f>
        <v>0.3150101521990838</v>
      </c>
      <c r="D71" s="9">
        <f>D11/118651-1</f>
        <v>2.116206353085941</v>
      </c>
      <c r="E71" s="9">
        <f>E11/112405-1</f>
        <v>2.0552466527289712</v>
      </c>
      <c r="F71" s="9">
        <f>F11/107474-1</f>
        <v>2.00867186482312</v>
      </c>
      <c r="G71" s="9">
        <f>G11/H11-1</f>
        <v>2.1880530263312754</v>
      </c>
      <c r="H71" s="9">
        <f>H11/71510-1</f>
        <v>0.3069920290868411</v>
      </c>
    </row>
    <row r="72" spans="1:8" ht="11.25">
      <c r="A72" s="6"/>
      <c r="B72" s="6" t="s">
        <v>13</v>
      </c>
      <c r="C72" s="9">
        <f>(C12-G12)/G12</f>
        <v>0.30130809870012404</v>
      </c>
      <c r="D72" s="9">
        <f>(D12-112009)/112009</f>
        <v>2.2059655920506387</v>
      </c>
      <c r="E72" s="9">
        <f>(E12-106254)/106254</f>
        <v>2.157688181150827</v>
      </c>
      <c r="F72" s="9">
        <f>(F12-101086)/101086</f>
        <v>2.123310844231644</v>
      </c>
      <c r="G72" s="9">
        <f>(G12-H12)/H12</f>
        <v>2.3645805715339656</v>
      </c>
      <c r="H72" s="9">
        <f>(H12-66152)/66152</f>
        <v>0.31135868907969527</v>
      </c>
    </row>
    <row r="73" spans="1:8" ht="11.25">
      <c r="A73" s="6"/>
      <c r="B73" s="6" t="s">
        <v>14</v>
      </c>
      <c r="C73" s="9">
        <f>(C13-G13)/G13</f>
        <v>0.9715974388441964</v>
      </c>
      <c r="D73" s="9">
        <f>(D13-6642)/6642</f>
        <v>0.6025293586269196</v>
      </c>
      <c r="E73" s="9">
        <f>(E13-6151)/6151</f>
        <v>0.2856446106324175</v>
      </c>
      <c r="F73" s="9">
        <f>(F13-6389)/6389</f>
        <v>0.19439661918923148</v>
      </c>
      <c r="G73" s="9">
        <f>(G13-H13)/H13</f>
        <v>-0.09279118260351504</v>
      </c>
      <c r="H73" s="9">
        <f>(H13-5358)/5358</f>
        <v>0.2530795072788354</v>
      </c>
    </row>
    <row r="74" spans="1:8" ht="11.25">
      <c r="A74" s="6" t="s">
        <v>65</v>
      </c>
      <c r="B74" s="6"/>
      <c r="C74" s="9">
        <f>C15/G15-1</f>
        <v>0.2638833082324239</v>
      </c>
      <c r="D74" s="9">
        <f>D15/151685-1</f>
        <v>1.6870949665425057</v>
      </c>
      <c r="E74" s="9">
        <f>E15/157845-1</f>
        <v>1.5831733662770437</v>
      </c>
      <c r="F74" s="9">
        <f>F15/104986-1</f>
        <v>2.469900748671251</v>
      </c>
      <c r="G74" s="9">
        <f>G15/H15</f>
        <v>3.4503989626969878</v>
      </c>
      <c r="H74" s="9">
        <f>H15/79718-1</f>
        <v>0.2576833337514739</v>
      </c>
    </row>
    <row r="75" spans="1:8" ht="11.25">
      <c r="A75" s="6"/>
      <c r="B75" s="6" t="s">
        <v>13</v>
      </c>
      <c r="C75" s="9">
        <f>(C16-G16)/G16</f>
        <v>0.24633370966783527</v>
      </c>
      <c r="D75" s="9">
        <f>(D16-148126)/148126</f>
        <v>1.6361813591131875</v>
      </c>
      <c r="E75" s="9">
        <f>(E16-153707)/153707</f>
        <v>1.5766100437846031</v>
      </c>
      <c r="F75" s="9">
        <f>(F16-100801)/100801</f>
        <v>2.404370988383052</v>
      </c>
      <c r="G75" s="9">
        <f>(G16-H16)/H16</f>
        <v>2.481850062585991</v>
      </c>
      <c r="H75" s="9">
        <f>(H16-74648)/74648</f>
        <v>0.2949710641946201</v>
      </c>
    </row>
    <row r="76" spans="1:8" ht="11.25">
      <c r="A76" s="6"/>
      <c r="B76" s="6" t="s">
        <v>14</v>
      </c>
      <c r="C76" s="9">
        <f>(C20-G20)/G20</f>
        <v>0.895158704713049</v>
      </c>
      <c r="D76" s="9">
        <f>(D20-3558)/3558</f>
        <v>3.8074761101742554</v>
      </c>
      <c r="E76" s="9">
        <f>(E20-4137)/4137</f>
        <v>1.8276528885665941</v>
      </c>
      <c r="F76" s="9">
        <f>(F20-4185)/4185</f>
        <v>4.048267622461171</v>
      </c>
      <c r="G76" s="9">
        <f>(G20-H20)/H20</f>
        <v>1.6042304480935152</v>
      </c>
      <c r="H76" s="9">
        <f>(H20-5070)/5070</f>
        <v>-0.2913214990138067</v>
      </c>
    </row>
    <row r="77" spans="1:8" ht="11.25">
      <c r="A77" s="6" t="s">
        <v>66</v>
      </c>
      <c r="B77" s="6"/>
      <c r="C77" s="9">
        <f>(C23-G23)/G23</f>
        <v>0.13507238459437312</v>
      </c>
      <c r="D77" s="9">
        <f>(D23-23150)/23150</f>
        <v>0.7850539956803456</v>
      </c>
      <c r="E77" s="9">
        <f>(E23-22950)/22950</f>
        <v>0.6880174291938997</v>
      </c>
      <c r="F77" s="9">
        <f>(F23-12634)/12634</f>
        <v>2.034905809719804</v>
      </c>
      <c r="G77" s="9">
        <f>(G23-H23)/H23</f>
        <v>1.9934587080948487</v>
      </c>
      <c r="H77" s="9">
        <f>(H23-10358)/10358</f>
        <v>0.18072987063139603</v>
      </c>
    </row>
    <row r="78" spans="1:8" ht="11.25">
      <c r="A78" s="2" t="s">
        <v>67</v>
      </c>
      <c r="B78" s="2"/>
      <c r="C78" s="11">
        <f>C38/G38-1</f>
        <v>3.2213225371120107</v>
      </c>
      <c r="D78" s="11">
        <f>D38/953-1</f>
        <v>4.270724029380903</v>
      </c>
      <c r="E78" s="11">
        <f>E38/731-1</f>
        <v>3.980848153214774</v>
      </c>
      <c r="F78" s="11">
        <f>F38/410-1</f>
        <v>3.2268292682926827</v>
      </c>
      <c r="G78" s="11">
        <f>(G38-H38)/H38</f>
        <v>-0.01593625498007968</v>
      </c>
      <c r="H78" s="11">
        <f>(H38-1507)/1507</f>
        <v>-0.0006635700066357001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</sheetData>
  <sheetProtection password="CD9E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2002-05-02T18:45:51Z</cp:lastPrinted>
  <dcterms:created xsi:type="dcterms:W3CDTF">2002-03-08T15:21:27Z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