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Naciona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<sst xmlns="http://schemas.openxmlformats.org/spreadsheetml/2006/main" count="80" uniqueCount="68">
  <si>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     BANCO NACIONAL DE PANAMA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</si>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</sst>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b/>
      <sz val="7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43" fontId="4" fillId="0" borderId="0" xfId="15" applyNumberFormat="1" applyFont="1" applyFill="1" applyAlignment="1">
      <alignment/>
    </xf>
    <xf numFmtId="177" fontId="4" fillId="0" borderId="1" xfId="0" applyNumberFormat="1" applyFont="1" applyFill="1" applyBorder="1" applyAlignment="1">
      <alignment/>
    </xf>
    <xf numFmtId="10" fontId="4" fillId="0" borderId="1" xfId="19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2.140625" style="1" customWidth="1"/>
    <col min="2" max="2" width="36.140625" style="1" customWidth="1"/>
    <col min="3" max="3" width="11.00390625" style="1" customWidth="1"/>
    <col min="4" max="6" width="9.8515625" style="1" customWidth="1"/>
    <col min="7" max="7" width="10.8515625" style="1" customWidth="1"/>
    <col min="8" max="8" width="11.28125" style="1" customWidth="1"/>
    <col min="9" max="16384" width="9.8515625" style="1" customWidth="1"/>
  </cols>
  <sheetData>
    <row r="1" spans="2:8" ht="11.25">
      <c r="B1" s="22"/>
      <c r="C1" s="22"/>
      <c r="D1" s="22"/>
      <c r="E1" s="22"/>
      <c r="F1" s="22"/>
      <c r="G1" s="22"/>
      <c r="H1" s="22"/>
    </row>
    <row r="2" spans="2:8" ht="11.25">
      <c r="B2" s="22"/>
      <c r="C2" s="22"/>
      <c r="D2" s="22"/>
      <c r="E2" s="22"/>
      <c r="F2" s="22" t="s">
        <v>0</v>
      </c>
      <c r="G2" s="22"/>
      <c r="H2" s="22"/>
    </row>
    <row r="3" spans="2:8" ht="11.25">
      <c r="B3" s="23"/>
      <c r="C3" s="23"/>
      <c r="D3" s="23"/>
      <c r="E3" s="23"/>
      <c r="F3" s="22" t="s">
        <v>1</v>
      </c>
      <c r="G3" s="23"/>
      <c r="H3" s="23"/>
    </row>
    <row r="4" spans="1:8" ht="11.25">
      <c r="A4" s="23"/>
      <c r="B4" s="23"/>
      <c r="C4" s="23"/>
      <c r="D4" s="23"/>
      <c r="E4" s="23"/>
      <c r="F4" s="23" t="s">
        <v>2</v>
      </c>
      <c r="G4" s="23"/>
      <c r="H4" s="23"/>
    </row>
    <row r="5" spans="1:8" ht="11.25">
      <c r="A5" s="23"/>
      <c r="B5" s="23"/>
      <c r="C5" s="23"/>
      <c r="D5" s="23"/>
      <c r="E5" s="23"/>
      <c r="F5" s="23"/>
      <c r="G5" s="23"/>
      <c r="H5" s="23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8" s="2" customFormat="1" ht="11.25">
      <c r="A7" s="5"/>
      <c r="B7" s="5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</row>
    <row r="8" spans="1:8" s="3" customFormat="1" ht="11.25">
      <c r="A8" s="6" t="s">
        <v>9</v>
      </c>
      <c r="B8" s="6"/>
      <c r="C8" s="7"/>
      <c r="D8" s="7"/>
      <c r="E8" s="7"/>
      <c r="F8" s="7"/>
      <c r="G8" s="7"/>
      <c r="H8" s="7"/>
    </row>
    <row r="9" spans="1:8" ht="11.25">
      <c r="A9" s="8" t="s">
        <v>10</v>
      </c>
      <c r="B9" s="8"/>
      <c r="C9" s="9">
        <v>3362059</v>
      </c>
      <c r="D9" s="9">
        <v>3356132</v>
      </c>
      <c r="E9" s="9">
        <v>3368833</v>
      </c>
      <c r="F9" s="9">
        <v>3437397</v>
      </c>
      <c r="G9" s="9">
        <v>3546505</v>
      </c>
      <c r="H9" s="9">
        <v>3494168</v>
      </c>
    </row>
    <row r="10" spans="1:8" ht="11.25">
      <c r="A10" s="8" t="s">
        <v>11</v>
      </c>
      <c r="B10" s="8"/>
      <c r="C10" s="9">
        <v>1619195</v>
      </c>
      <c r="D10" s="9">
        <v>1620524</v>
      </c>
      <c r="E10" s="9">
        <v>1553864</v>
      </c>
      <c r="F10" s="9">
        <v>1706324</v>
      </c>
      <c r="G10" s="9">
        <v>1807762</v>
      </c>
      <c r="H10" s="9">
        <v>1886976</v>
      </c>
    </row>
    <row r="11" spans="1:8" ht="11.25">
      <c r="A11" s="8" t="s">
        <v>12</v>
      </c>
      <c r="B11" s="8"/>
      <c r="C11" s="9">
        <f aca="true" t="shared" si="0" ref="C11:H11">C12+C13</f>
        <v>1433356</v>
      </c>
      <c r="D11" s="9">
        <f t="shared" si="0"/>
        <v>1469392</v>
      </c>
      <c r="E11" s="9">
        <f t="shared" si="0"/>
        <v>1442981</v>
      </c>
      <c r="F11" s="9">
        <f t="shared" si="0"/>
        <v>1476203</v>
      </c>
      <c r="G11" s="9">
        <f t="shared" si="0"/>
        <v>1440093</v>
      </c>
      <c r="H11" s="9">
        <f t="shared" si="0"/>
        <v>1360605</v>
      </c>
    </row>
    <row r="12" spans="1:8" ht="11.25">
      <c r="A12" s="8"/>
      <c r="B12" s="8" t="s">
        <v>13</v>
      </c>
      <c r="C12" s="9">
        <v>1433331</v>
      </c>
      <c r="D12" s="9">
        <v>1469367</v>
      </c>
      <c r="E12" s="9">
        <v>1442956</v>
      </c>
      <c r="F12" s="9">
        <v>1476178</v>
      </c>
      <c r="G12" s="9">
        <v>1435068</v>
      </c>
      <c r="H12" s="9">
        <v>1360580</v>
      </c>
    </row>
    <row r="13" spans="1:8" ht="11.25">
      <c r="A13" s="8"/>
      <c r="B13" s="8" t="s">
        <v>14</v>
      </c>
      <c r="C13" s="9">
        <v>25</v>
      </c>
      <c r="D13" s="9">
        <v>25</v>
      </c>
      <c r="E13" s="9">
        <v>25</v>
      </c>
      <c r="F13" s="9">
        <v>25</v>
      </c>
      <c r="G13" s="9">
        <v>5025</v>
      </c>
      <c r="H13" s="9">
        <v>25</v>
      </c>
    </row>
    <row r="14" spans="1:8" ht="11.25">
      <c r="A14" s="8" t="s">
        <v>15</v>
      </c>
      <c r="B14" s="8"/>
      <c r="C14" s="9">
        <v>180790</v>
      </c>
      <c r="D14" s="9">
        <v>183325</v>
      </c>
      <c r="E14" s="9">
        <v>294436</v>
      </c>
      <c r="F14" s="9">
        <v>176866</v>
      </c>
      <c r="G14" s="9">
        <v>219261</v>
      </c>
      <c r="H14" s="9">
        <v>170729</v>
      </c>
    </row>
    <row r="15" spans="1:8" ht="11.25">
      <c r="A15" s="8" t="s">
        <v>16</v>
      </c>
      <c r="B15" s="8"/>
      <c r="C15" s="9">
        <f aca="true" t="shared" si="1" ref="C15:H15">C16+C20</f>
        <v>2639714</v>
      </c>
      <c r="D15" s="9">
        <f t="shared" si="1"/>
        <v>2617054</v>
      </c>
      <c r="E15" s="9">
        <f t="shared" si="1"/>
        <v>2629791</v>
      </c>
      <c r="F15" s="9">
        <f t="shared" si="1"/>
        <v>2664028</v>
      </c>
      <c r="G15" s="9">
        <f t="shared" si="1"/>
        <v>2774388</v>
      </c>
      <c r="H15" s="9">
        <f t="shared" si="1"/>
        <v>2708633</v>
      </c>
    </row>
    <row r="16" spans="1:8" ht="11.25">
      <c r="A16" s="8"/>
      <c r="B16" s="8" t="s">
        <v>13</v>
      </c>
      <c r="C16" s="9">
        <f aca="true" t="shared" si="2" ref="C16:H16">SUM(C17:C19)</f>
        <v>2597230</v>
      </c>
      <c r="D16" s="9">
        <f t="shared" si="2"/>
        <v>2574726</v>
      </c>
      <c r="E16" s="9">
        <f t="shared" si="2"/>
        <v>2590237</v>
      </c>
      <c r="F16" s="9">
        <f t="shared" si="2"/>
        <v>2618553</v>
      </c>
      <c r="G16" s="9">
        <f t="shared" si="2"/>
        <v>2725389</v>
      </c>
      <c r="H16" s="9">
        <f t="shared" si="2"/>
        <v>2660548</v>
      </c>
    </row>
    <row r="17" spans="1:8" ht="11.25">
      <c r="A17" s="8"/>
      <c r="B17" s="8" t="s">
        <v>17</v>
      </c>
      <c r="C17" s="9">
        <v>1913566</v>
      </c>
      <c r="D17" s="9">
        <v>798889</v>
      </c>
      <c r="E17" s="9">
        <v>1980861</v>
      </c>
      <c r="F17" s="9">
        <v>1988284</v>
      </c>
      <c r="G17" s="9">
        <v>2106297</v>
      </c>
      <c r="H17" s="9">
        <v>2052620</v>
      </c>
    </row>
    <row r="18" spans="1:8" ht="11.25">
      <c r="A18" s="8"/>
      <c r="B18" s="8" t="s">
        <v>18</v>
      </c>
      <c r="C18" s="9">
        <v>390669</v>
      </c>
      <c r="D18" s="9">
        <v>1530478</v>
      </c>
      <c r="E18" s="9">
        <v>357852</v>
      </c>
      <c r="F18" s="9">
        <v>346802</v>
      </c>
      <c r="G18" s="9">
        <v>334968</v>
      </c>
      <c r="H18" s="9">
        <v>335849</v>
      </c>
    </row>
    <row r="19" spans="1:8" ht="11.25">
      <c r="A19" s="8"/>
      <c r="B19" s="8" t="s">
        <v>19</v>
      </c>
      <c r="C19" s="9">
        <v>292995</v>
      </c>
      <c r="D19" s="9">
        <v>245359</v>
      </c>
      <c r="E19" s="9">
        <v>251524</v>
      </c>
      <c r="F19" s="9">
        <v>283467</v>
      </c>
      <c r="G19" s="9">
        <v>284124</v>
      </c>
      <c r="H19" s="9">
        <v>272079</v>
      </c>
    </row>
    <row r="20" spans="1:8" ht="11.25">
      <c r="A20" s="8"/>
      <c r="B20" s="8" t="s">
        <v>14</v>
      </c>
      <c r="C20" s="9">
        <f aca="true" t="shared" si="3" ref="C20:H20">SUM(C21:C22)</f>
        <v>42484</v>
      </c>
      <c r="D20" s="9">
        <f t="shared" si="3"/>
        <v>42328</v>
      </c>
      <c r="E20" s="9">
        <f t="shared" si="3"/>
        <v>39554</v>
      </c>
      <c r="F20" s="9">
        <f t="shared" si="3"/>
        <v>45475</v>
      </c>
      <c r="G20" s="9">
        <f t="shared" si="3"/>
        <v>48999</v>
      </c>
      <c r="H20" s="9">
        <f t="shared" si="3"/>
        <v>48085</v>
      </c>
    </row>
    <row r="21" spans="1:8" ht="11.25">
      <c r="A21" s="8"/>
      <c r="B21" s="8" t="s">
        <v>18</v>
      </c>
      <c r="C21" s="9">
        <v>16130</v>
      </c>
      <c r="D21" s="9">
        <v>16500</v>
      </c>
      <c r="E21" s="9">
        <v>15909</v>
      </c>
      <c r="F21" s="9">
        <v>16367</v>
      </c>
      <c r="G21" s="9">
        <v>15785</v>
      </c>
      <c r="H21" s="9">
        <v>16802</v>
      </c>
    </row>
    <row r="22" spans="1:8" ht="11.25">
      <c r="A22" s="8"/>
      <c r="B22" s="8" t="s">
        <v>19</v>
      </c>
      <c r="C22" s="9">
        <v>26354</v>
      </c>
      <c r="D22" s="9">
        <v>25828</v>
      </c>
      <c r="E22" s="9">
        <v>23645</v>
      </c>
      <c r="F22" s="9">
        <v>29108</v>
      </c>
      <c r="G22" s="9">
        <v>33214</v>
      </c>
      <c r="H22" s="9">
        <v>31283</v>
      </c>
    </row>
    <row r="23" spans="1:8" ht="11.25">
      <c r="A23" s="4" t="s">
        <v>20</v>
      </c>
      <c r="B23" s="4"/>
      <c r="C23" s="10">
        <v>500000</v>
      </c>
      <c r="D23" s="10">
        <v>509298</v>
      </c>
      <c r="E23" s="10">
        <v>500000</v>
      </c>
      <c r="F23" s="10">
        <v>510351</v>
      </c>
      <c r="G23" s="10">
        <v>500000</v>
      </c>
      <c r="H23" s="10">
        <v>506839</v>
      </c>
    </row>
    <row r="24" spans="1:8" ht="16.5" customHeight="1">
      <c r="A24" s="6" t="s">
        <v>21</v>
      </c>
      <c r="B24" s="8"/>
      <c r="C24" s="9"/>
      <c r="D24" s="9"/>
      <c r="E24" s="9"/>
      <c r="F24" s="9"/>
      <c r="G24" s="9"/>
      <c r="H24" s="9"/>
    </row>
    <row r="25" spans="1:8" ht="11.25">
      <c r="A25" s="8" t="s">
        <v>10</v>
      </c>
      <c r="B25" s="8"/>
      <c r="C25" s="9">
        <v>3454282</v>
      </c>
      <c r="D25" s="9">
        <v>3409109</v>
      </c>
      <c r="E25" s="9">
        <v>3509072</v>
      </c>
      <c r="F25" s="9">
        <v>3482884</v>
      </c>
      <c r="G25" s="9">
        <f>(G9+H9)/2</f>
        <v>3520336.5</v>
      </c>
      <c r="H25" s="9">
        <f>(3494168+3369339)/2</f>
        <v>3431753.5</v>
      </c>
    </row>
    <row r="26" spans="1:8" ht="11.25">
      <c r="A26" s="8" t="s">
        <v>22</v>
      </c>
      <c r="B26" s="8"/>
      <c r="C26" s="9">
        <f aca="true" t="shared" si="4" ref="C26:H26">C27+C28</f>
        <v>1636749</v>
      </c>
      <c r="D26" s="9">
        <f t="shared" si="4"/>
        <v>1647344</v>
      </c>
      <c r="E26" s="9">
        <f t="shared" si="4"/>
        <v>1663630</v>
      </c>
      <c r="F26" s="9">
        <f t="shared" si="4"/>
        <v>1620216</v>
      </c>
      <c r="G26" s="9">
        <f t="shared" si="4"/>
        <v>1595344</v>
      </c>
      <c r="H26" s="9">
        <f t="shared" si="4"/>
        <v>1461800.5</v>
      </c>
    </row>
    <row r="27" spans="1:8" ht="11.25">
      <c r="A27" s="8"/>
      <c r="B27" s="8" t="s">
        <v>12</v>
      </c>
      <c r="C27" s="9">
        <v>1436724</v>
      </c>
      <c r="D27" s="9">
        <v>1452776</v>
      </c>
      <c r="E27" s="9">
        <v>1417649</v>
      </c>
      <c r="F27" s="9">
        <v>1438973</v>
      </c>
      <c r="G27" s="9">
        <f>(G11+H11)/2</f>
        <v>1400349</v>
      </c>
      <c r="H27" s="9">
        <f>(1360605+1328903)/2</f>
        <v>1344754</v>
      </c>
    </row>
    <row r="28" spans="1:8" ht="11.25">
      <c r="A28" s="8"/>
      <c r="B28" s="8" t="s">
        <v>15</v>
      </c>
      <c r="C28" s="9">
        <v>200025</v>
      </c>
      <c r="D28" s="9">
        <v>194568</v>
      </c>
      <c r="E28" s="9">
        <v>245981</v>
      </c>
      <c r="F28" s="9">
        <v>181243</v>
      </c>
      <c r="G28" s="9">
        <f>(G14+H14)/2</f>
        <v>194995</v>
      </c>
      <c r="H28" s="9">
        <f>(170729+63364)/2</f>
        <v>117046.5</v>
      </c>
    </row>
    <row r="29" spans="1:8" ht="11.25">
      <c r="A29" s="4" t="s">
        <v>20</v>
      </c>
      <c r="B29" s="4"/>
      <c r="C29" s="10">
        <v>500000</v>
      </c>
      <c r="D29" s="10">
        <v>509043</v>
      </c>
      <c r="E29" s="10">
        <v>500000</v>
      </c>
      <c r="F29" s="10">
        <v>521462</v>
      </c>
      <c r="G29" s="10">
        <f>(G23+H23)/2</f>
        <v>503419.5</v>
      </c>
      <c r="H29" s="10">
        <f>(506839+436025)/2</f>
        <v>471432</v>
      </c>
    </row>
    <row r="30" spans="1:8" ht="16.5" customHeight="1">
      <c r="A30" s="6" t="s">
        <v>23</v>
      </c>
      <c r="B30" s="8"/>
      <c r="C30" s="8"/>
      <c r="D30" s="8"/>
      <c r="E30" s="8"/>
      <c r="F30" s="8"/>
      <c r="G30" s="8"/>
      <c r="H30" s="8"/>
    </row>
    <row r="31" spans="1:8" ht="11.25">
      <c r="A31" s="8" t="s">
        <v>24</v>
      </c>
      <c r="B31" s="8"/>
      <c r="C31" s="11">
        <v>260462</v>
      </c>
      <c r="D31" s="11">
        <v>191570</v>
      </c>
      <c r="E31" s="11">
        <v>124152</v>
      </c>
      <c r="F31" s="11">
        <v>62263</v>
      </c>
      <c r="G31" s="11">
        <v>225869</v>
      </c>
      <c r="H31" s="11">
        <v>182351</v>
      </c>
    </row>
    <row r="32" spans="1:8" ht="11.25">
      <c r="A32" s="8" t="s">
        <v>25</v>
      </c>
      <c r="B32" s="8"/>
      <c r="C32" s="11">
        <v>108048</v>
      </c>
      <c r="D32" s="11">
        <v>80187</v>
      </c>
      <c r="E32" s="11">
        <v>51842</v>
      </c>
      <c r="F32" s="11">
        <v>25916</v>
      </c>
      <c r="G32" s="11">
        <v>92178</v>
      </c>
      <c r="H32" s="11">
        <v>83331</v>
      </c>
    </row>
    <row r="33" spans="1:8" ht="11.25">
      <c r="A33" s="8" t="s">
        <v>26</v>
      </c>
      <c r="B33" s="8"/>
      <c r="C33" s="11">
        <f aca="true" t="shared" si="5" ref="C33:H33">C31-C32</f>
        <v>152414</v>
      </c>
      <c r="D33" s="11">
        <f t="shared" si="5"/>
        <v>111383</v>
      </c>
      <c r="E33" s="11">
        <f t="shared" si="5"/>
        <v>72310</v>
      </c>
      <c r="F33" s="11">
        <f t="shared" si="5"/>
        <v>36347</v>
      </c>
      <c r="G33" s="11">
        <f t="shared" si="5"/>
        <v>133691</v>
      </c>
      <c r="H33" s="11">
        <f t="shared" si="5"/>
        <v>99020</v>
      </c>
    </row>
    <row r="34" spans="1:8" ht="11.25">
      <c r="A34" s="8" t="s">
        <v>27</v>
      </c>
      <c r="B34" s="8"/>
      <c r="C34" s="11">
        <v>9103</v>
      </c>
      <c r="D34" s="11">
        <v>5259</v>
      </c>
      <c r="E34" s="11">
        <v>3634</v>
      </c>
      <c r="F34" s="11">
        <v>2120</v>
      </c>
      <c r="G34" s="11">
        <v>11336</v>
      </c>
      <c r="H34" s="11">
        <v>20664</v>
      </c>
    </row>
    <row r="35" spans="1:8" ht="11.25">
      <c r="A35" s="8" t="s">
        <v>28</v>
      </c>
      <c r="B35" s="8"/>
      <c r="C35" s="11">
        <f aca="true" t="shared" si="6" ref="C35:H35">C33+C34</f>
        <v>161517</v>
      </c>
      <c r="D35" s="11">
        <f t="shared" si="6"/>
        <v>116642</v>
      </c>
      <c r="E35" s="11">
        <f t="shared" si="6"/>
        <v>75944</v>
      </c>
      <c r="F35" s="11">
        <f t="shared" si="6"/>
        <v>38467</v>
      </c>
      <c r="G35" s="11">
        <f t="shared" si="6"/>
        <v>145027</v>
      </c>
      <c r="H35" s="11">
        <f t="shared" si="6"/>
        <v>119684</v>
      </c>
    </row>
    <row r="36" spans="1:8" ht="11.25">
      <c r="A36" s="8" t="s">
        <v>29</v>
      </c>
      <c r="B36" s="8"/>
      <c r="C36" s="11">
        <v>43266</v>
      </c>
      <c r="D36" s="11">
        <v>30693</v>
      </c>
      <c r="E36" s="11">
        <v>19772</v>
      </c>
      <c r="F36" s="11">
        <v>9728</v>
      </c>
      <c r="G36" s="11">
        <v>39723</v>
      </c>
      <c r="H36" s="11">
        <v>48871</v>
      </c>
    </row>
    <row r="37" spans="1:8" ht="11.25">
      <c r="A37" s="8" t="s">
        <v>30</v>
      </c>
      <c r="B37" s="8"/>
      <c r="C37" s="11">
        <f aca="true" t="shared" si="7" ref="C37:H37">C35-C36</f>
        <v>118251</v>
      </c>
      <c r="D37" s="11">
        <f t="shared" si="7"/>
        <v>85949</v>
      </c>
      <c r="E37" s="11">
        <f t="shared" si="7"/>
        <v>56172</v>
      </c>
      <c r="F37" s="11">
        <f t="shared" si="7"/>
        <v>28739</v>
      </c>
      <c r="G37" s="11">
        <f t="shared" si="7"/>
        <v>105304</v>
      </c>
      <c r="H37" s="11">
        <f t="shared" si="7"/>
        <v>70813</v>
      </c>
    </row>
    <row r="38" spans="1:8" ht="11.25">
      <c r="A38" s="4" t="s">
        <v>31</v>
      </c>
      <c r="B38" s="4"/>
      <c r="C38" s="12">
        <v>117251</v>
      </c>
      <c r="D38" s="12">
        <v>85949</v>
      </c>
      <c r="E38" s="12">
        <v>56172</v>
      </c>
      <c r="F38" s="12">
        <v>28739</v>
      </c>
      <c r="G38" s="12">
        <v>105304</v>
      </c>
      <c r="H38" s="12">
        <v>70813</v>
      </c>
    </row>
    <row r="39" spans="1:8" ht="15.75" customHeight="1">
      <c r="A39" s="6" t="s">
        <v>32</v>
      </c>
      <c r="B39" s="8"/>
      <c r="C39" s="8"/>
      <c r="D39" s="8"/>
      <c r="E39" s="8"/>
      <c r="F39" s="8"/>
      <c r="G39" s="8"/>
      <c r="H39" s="8"/>
    </row>
    <row r="40" spans="1:8" ht="11.25">
      <c r="A40" s="8" t="s">
        <v>33</v>
      </c>
      <c r="B40" s="8"/>
      <c r="C40" s="9">
        <v>7489</v>
      </c>
      <c r="D40" s="9">
        <v>7691</v>
      </c>
      <c r="E40" s="9">
        <v>7426</v>
      </c>
      <c r="F40" s="9">
        <v>9949</v>
      </c>
      <c r="G40" s="9">
        <v>6142</v>
      </c>
      <c r="H40" s="9">
        <v>5749</v>
      </c>
    </row>
    <row r="41" spans="1:8" ht="11.25">
      <c r="A41" s="8" t="s">
        <v>34</v>
      </c>
      <c r="B41" s="8"/>
      <c r="C41" s="9">
        <v>6304</v>
      </c>
      <c r="D41" s="9">
        <v>6608</v>
      </c>
      <c r="E41" s="9">
        <v>6062</v>
      </c>
      <c r="F41" s="9">
        <v>6617</v>
      </c>
      <c r="G41" s="9">
        <v>4472</v>
      </c>
      <c r="H41" s="9">
        <v>4942</v>
      </c>
    </row>
    <row r="42" spans="1:8" ht="11.25">
      <c r="A42" s="8" t="s">
        <v>35</v>
      </c>
      <c r="B42" s="8"/>
      <c r="C42" s="13">
        <f aca="true" t="shared" si="8" ref="C42:H42">C40/C11</f>
        <v>0.005224801096168712</v>
      </c>
      <c r="D42" s="13">
        <f t="shared" si="8"/>
        <v>0.005234137656935658</v>
      </c>
      <c r="E42" s="13">
        <f t="shared" si="8"/>
        <v>0.0051462909075032865</v>
      </c>
      <c r="F42" s="13">
        <f t="shared" si="8"/>
        <v>0.006739587983495495</v>
      </c>
      <c r="G42" s="13">
        <f t="shared" si="8"/>
        <v>0.004265002329710651</v>
      </c>
      <c r="H42" s="13">
        <f t="shared" si="8"/>
        <v>0.004225326233550516</v>
      </c>
    </row>
    <row r="43" spans="1:8" ht="11.25">
      <c r="A43" s="8" t="s">
        <v>36</v>
      </c>
      <c r="B43" s="8"/>
      <c r="C43" s="13">
        <f aca="true" t="shared" si="9" ref="C43:H43">C41/C11</f>
        <v>0.004398069984009555</v>
      </c>
      <c r="D43" s="13">
        <f t="shared" si="9"/>
        <v>0.004497098119494321</v>
      </c>
      <c r="E43" s="13">
        <f t="shared" si="9"/>
        <v>0.0042010255159284846</v>
      </c>
      <c r="F43" s="13">
        <f t="shared" si="9"/>
        <v>0.004482445842475594</v>
      </c>
      <c r="G43" s="13">
        <f t="shared" si="9"/>
        <v>0.0031053550013783833</v>
      </c>
      <c r="H43" s="13">
        <f t="shared" si="9"/>
        <v>0.003632207731119612</v>
      </c>
    </row>
    <row r="44" spans="1:8" ht="11.25">
      <c r="A44" s="14" t="s">
        <v>37</v>
      </c>
      <c r="B44" s="8"/>
      <c r="C44" s="13">
        <f aca="true" t="shared" si="10" ref="C44:H44">(C40+C41)/C11</f>
        <v>0.009622871080178267</v>
      </c>
      <c r="D44" s="13">
        <f t="shared" si="10"/>
        <v>0.009731235776429979</v>
      </c>
      <c r="E44" s="13">
        <f t="shared" si="10"/>
        <v>0.00934731642343177</v>
      </c>
      <c r="F44" s="13">
        <f t="shared" si="10"/>
        <v>0.01122203382597109</v>
      </c>
      <c r="G44" s="13">
        <f t="shared" si="10"/>
        <v>0.007370357331089034</v>
      </c>
      <c r="H44" s="13">
        <f t="shared" si="10"/>
        <v>0.007857533964670128</v>
      </c>
    </row>
    <row r="45" spans="1:8" ht="11.25">
      <c r="A45" s="8" t="s">
        <v>38</v>
      </c>
      <c r="B45" s="8"/>
      <c r="C45" s="13">
        <v>0.0118</v>
      </c>
      <c r="D45" s="13">
        <v>0.011</v>
      </c>
      <c r="E45" s="13">
        <v>0.0112</v>
      </c>
      <c r="F45" s="13">
        <v>0.0112</v>
      </c>
      <c r="G45" s="13">
        <v>0.0116</v>
      </c>
      <c r="H45" s="13">
        <v>0.013</v>
      </c>
    </row>
    <row r="46" spans="1:8" ht="11.25">
      <c r="A46" s="4" t="s">
        <v>39</v>
      </c>
      <c r="B46" s="4"/>
      <c r="C46" s="15">
        <v>1.2286</v>
      </c>
      <c r="D46" s="15">
        <v>1.1318</v>
      </c>
      <c r="E46" s="15">
        <v>1.2029</v>
      </c>
      <c r="F46" s="15">
        <v>1.0018</v>
      </c>
      <c r="G46" s="15">
        <v>1.5694</v>
      </c>
      <c r="H46" s="15">
        <v>1.6504</v>
      </c>
    </row>
    <row r="47" spans="1:8" ht="17.25" customHeight="1">
      <c r="A47" s="6" t="s">
        <v>40</v>
      </c>
      <c r="B47" s="8"/>
      <c r="C47" s="8"/>
      <c r="D47" s="8"/>
      <c r="E47" s="8"/>
      <c r="F47" s="8"/>
      <c r="G47" s="8"/>
      <c r="H47" s="8"/>
    </row>
    <row r="48" spans="1:8" ht="11.25">
      <c r="A48" s="8" t="s">
        <v>41</v>
      </c>
      <c r="B48" s="8"/>
      <c r="C48" s="13">
        <f aca="true" t="shared" si="11" ref="C48:H48">C23/(C11+C14)</f>
        <v>0.30976132270562884</v>
      </c>
      <c r="D48" s="13">
        <f t="shared" si="11"/>
        <v>0.308158021004201</v>
      </c>
      <c r="E48" s="13">
        <f t="shared" si="11"/>
        <v>0.2877835315298515</v>
      </c>
      <c r="F48" s="13">
        <f t="shared" si="11"/>
        <v>0.3087293996802311</v>
      </c>
      <c r="G48" s="13">
        <f t="shared" si="11"/>
        <v>0.30132208076154937</v>
      </c>
      <c r="H48" s="13">
        <f t="shared" si="11"/>
        <v>0.3309787414110834</v>
      </c>
    </row>
    <row r="49" spans="1:8" ht="11.25">
      <c r="A49" s="4" t="s">
        <v>42</v>
      </c>
      <c r="B49" s="4"/>
      <c r="C49" s="15">
        <f aca="true" t="shared" si="12" ref="C49:H49">C23/C11</f>
        <v>0.3488316928941589</v>
      </c>
      <c r="D49" s="15">
        <f t="shared" si="12"/>
        <v>0.3466045820312075</v>
      </c>
      <c r="E49" s="15">
        <f t="shared" si="12"/>
        <v>0.3465049089350449</v>
      </c>
      <c r="F49" s="15">
        <f t="shared" si="12"/>
        <v>0.3457187121283455</v>
      </c>
      <c r="G49" s="15">
        <f t="shared" si="12"/>
        <v>0.34719979890187647</v>
      </c>
      <c r="H49" s="15">
        <f t="shared" si="12"/>
        <v>0.37251002311471737</v>
      </c>
    </row>
    <row r="50" spans="1:8" ht="16.5" customHeight="1">
      <c r="A50" s="6" t="s">
        <v>43</v>
      </c>
      <c r="B50" s="8"/>
      <c r="C50" s="8"/>
      <c r="D50" s="8"/>
      <c r="E50" s="8"/>
      <c r="F50" s="8"/>
      <c r="G50" s="8"/>
      <c r="H50" s="8"/>
    </row>
    <row r="51" spans="1:8" ht="11.25">
      <c r="A51" s="8" t="s">
        <v>44</v>
      </c>
      <c r="B51" s="8"/>
      <c r="C51" s="16">
        <f aca="true" t="shared" si="13" ref="C51:H51">C10/C15</f>
        <v>0.6133978908321128</v>
      </c>
      <c r="D51" s="16">
        <f t="shared" si="13"/>
        <v>0.6192168751580976</v>
      </c>
      <c r="E51" s="16">
        <f t="shared" si="13"/>
        <v>0.5908697687382761</v>
      </c>
      <c r="F51" s="16">
        <f t="shared" si="13"/>
        <v>0.6405052799745348</v>
      </c>
      <c r="G51" s="16">
        <f t="shared" si="13"/>
        <v>0.6515894676591738</v>
      </c>
      <c r="H51" s="16">
        <f t="shared" si="13"/>
        <v>0.6966525180783074</v>
      </c>
    </row>
    <row r="52" spans="1:8" ht="11.25">
      <c r="A52" s="8" t="s">
        <v>45</v>
      </c>
      <c r="B52" s="8"/>
      <c r="C52" s="16">
        <f aca="true" t="shared" si="14" ref="C52:H52">C10/C9</f>
        <v>0.48160814548465686</v>
      </c>
      <c r="D52" s="16">
        <f t="shared" si="14"/>
        <v>0.4828546672180951</v>
      </c>
      <c r="E52" s="16">
        <f t="shared" si="14"/>
        <v>0.4612469659374626</v>
      </c>
      <c r="F52" s="16">
        <f t="shared" si="14"/>
        <v>0.4964000375865808</v>
      </c>
      <c r="G52" s="16">
        <f t="shared" si="14"/>
        <v>0.5097305657259753</v>
      </c>
      <c r="H52" s="16">
        <f t="shared" si="14"/>
        <v>0.5400358540287702</v>
      </c>
    </row>
    <row r="53" spans="1:8" ht="11.25">
      <c r="A53" s="4" t="s">
        <v>46</v>
      </c>
      <c r="B53" s="4"/>
      <c r="C53" s="17">
        <f aca="true" t="shared" si="15" ref="C53:H53">(C10+C14)/C15</f>
        <v>0.6818863710235276</v>
      </c>
      <c r="D53" s="17">
        <f t="shared" si="15"/>
        <v>0.6892670155067492</v>
      </c>
      <c r="E53" s="17">
        <f t="shared" si="15"/>
        <v>0.7028315177898168</v>
      </c>
      <c r="F53" s="17">
        <f t="shared" si="15"/>
        <v>0.7068957233182234</v>
      </c>
      <c r="G53" s="17">
        <f t="shared" si="15"/>
        <v>0.730619870039807</v>
      </c>
      <c r="H53" s="17">
        <f t="shared" si="15"/>
        <v>0.7596839438934695</v>
      </c>
    </row>
    <row r="54" spans="1:8" ht="16.5" customHeight="1">
      <c r="A54" s="6" t="s">
        <v>47</v>
      </c>
      <c r="B54" s="8"/>
      <c r="C54" s="8"/>
      <c r="D54" s="8"/>
      <c r="E54" s="8"/>
      <c r="F54" s="8"/>
      <c r="G54" s="8"/>
      <c r="H54" s="8"/>
    </row>
    <row r="55" spans="1:8" ht="11.25">
      <c r="A55" s="8" t="s">
        <v>48</v>
      </c>
      <c r="B55" s="8"/>
      <c r="C55" s="13">
        <f>(C38)/C26</f>
        <v>0.07163651848878479</v>
      </c>
      <c r="D55" s="13">
        <f>((D38)/0.75)/D26</f>
        <v>0.06956571709774441</v>
      </c>
      <c r="E55" s="13">
        <f>((E38)/0.5)/E26</f>
        <v>0.06752943863719697</v>
      </c>
      <c r="F55" s="13">
        <f>((F38)/0.25)/F26</f>
        <v>0.07095103368933525</v>
      </c>
      <c r="G55" s="13">
        <f>G38/G26</f>
        <v>0.06600708060455927</v>
      </c>
      <c r="H55" s="13">
        <f>H38/H26</f>
        <v>0.04844231480287495</v>
      </c>
    </row>
    <row r="56" spans="1:8" ht="11.25">
      <c r="A56" s="8" t="s">
        <v>49</v>
      </c>
      <c r="B56" s="8"/>
      <c r="C56" s="13">
        <f>(C38)/C25</f>
        <v>0.03394366759865002</v>
      </c>
      <c r="D56" s="13">
        <f>((D38)/0.75)/D25</f>
        <v>0.033615430503004355</v>
      </c>
      <c r="E56" s="13">
        <f>((E38)/0.5)/E25</f>
        <v>0.032015302051368565</v>
      </c>
      <c r="F56" s="13">
        <f>((F38)/0.25)/F25</f>
        <v>0.033005980101548024</v>
      </c>
      <c r="G56" s="13">
        <f>G38/G25</f>
        <v>0.029913049505352684</v>
      </c>
      <c r="H56" s="13">
        <f>H38/H25</f>
        <v>0.02063464057077526</v>
      </c>
    </row>
    <row r="57" spans="1:8" ht="11.25">
      <c r="A57" s="8" t="s">
        <v>50</v>
      </c>
      <c r="B57" s="8"/>
      <c r="C57" s="13">
        <f>(C38)/C29</f>
        <v>0.234502</v>
      </c>
      <c r="D57" s="13">
        <f>((D38)/0.75)/D29</f>
        <v>0.22512570974685178</v>
      </c>
      <c r="E57" s="13">
        <f>((E38)/0.5)/E29</f>
        <v>0.224688</v>
      </c>
      <c r="F57" s="13">
        <f>((F38)/0.25)/F29</f>
        <v>0.22044942872155593</v>
      </c>
      <c r="G57" s="13">
        <f>G38/G29</f>
        <v>0.20917743551848905</v>
      </c>
      <c r="H57" s="13">
        <f>H38/H29</f>
        <v>0.15020830151538292</v>
      </c>
    </row>
    <row r="58" spans="1:8" ht="11.25">
      <c r="A58" s="8" t="s">
        <v>51</v>
      </c>
      <c r="B58" s="8"/>
      <c r="C58" s="13">
        <f>(C31)/C25</f>
        <v>0.0754026451806772</v>
      </c>
      <c r="D58" s="13">
        <f>((D31)/0.75)/D25</f>
        <v>0.07492475795484001</v>
      </c>
      <c r="E58" s="13">
        <f>((E31)/0.5)/E25</f>
        <v>0.07076058855446682</v>
      </c>
      <c r="F58" s="13">
        <f>((F31)/0.25)/F25</f>
        <v>0.07150740593140627</v>
      </c>
      <c r="G58" s="13">
        <f>G31/G25</f>
        <v>0.06416119595385271</v>
      </c>
      <c r="H58" s="13">
        <f>H31/H25</f>
        <v>0.053136392226306464</v>
      </c>
    </row>
    <row r="59" spans="1:8" ht="11.25">
      <c r="A59" s="8" t="s">
        <v>52</v>
      </c>
      <c r="B59" s="8"/>
      <c r="C59" s="13">
        <f>(C32)/C25</f>
        <v>0.03127943810030565</v>
      </c>
      <c r="D59" s="13">
        <f>((D32)/0.75)/D25</f>
        <v>0.031361860239728326</v>
      </c>
      <c r="E59" s="13">
        <f>((E32)/0.5)/E25</f>
        <v>0.029547413105231242</v>
      </c>
      <c r="F59" s="13">
        <f>((F32)/0.25)/F25</f>
        <v>0.029763839392870965</v>
      </c>
      <c r="G59" s="13">
        <f>G32/G25</f>
        <v>0.026184428676065484</v>
      </c>
      <c r="H59" s="13">
        <f>H32/H25</f>
        <v>0.0242823384604984</v>
      </c>
    </row>
    <row r="60" spans="1:8" ht="11.25">
      <c r="A60" s="8" t="s">
        <v>53</v>
      </c>
      <c r="B60" s="8"/>
      <c r="C60" s="13">
        <f>(C33)/C25</f>
        <v>0.04412320708037155</v>
      </c>
      <c r="D60" s="13">
        <f>((D33)/0.75)/D25</f>
        <v>0.043562897715111674</v>
      </c>
      <c r="E60" s="13">
        <f>((E33)/0.5)/E25</f>
        <v>0.041213175449235584</v>
      </c>
      <c r="F60" s="13">
        <f>((F33)/0.25)/F25</f>
        <v>0.0417435665385353</v>
      </c>
      <c r="G60" s="13">
        <f>G33/G25</f>
        <v>0.037976767277787225</v>
      </c>
      <c r="H60" s="13">
        <f>H33/H25</f>
        <v>0.028854053765808064</v>
      </c>
    </row>
    <row r="61" spans="1:8" ht="11.25">
      <c r="A61" s="8" t="s">
        <v>54</v>
      </c>
      <c r="B61" s="8"/>
      <c r="C61" s="13">
        <f>(C36)/(C35)</f>
        <v>0.2678727316629209</v>
      </c>
      <c r="D61" s="13">
        <f>((D36)/0.75)/((D35)/0.75)</f>
        <v>0.26313849213833784</v>
      </c>
      <c r="E61" s="13">
        <f>((E36)/0.5)/((E35)/0.5)</f>
        <v>0.2603497313810176</v>
      </c>
      <c r="F61" s="13">
        <f>(F36/0.25)/(F35/0.25)</f>
        <v>0.2528920893233161</v>
      </c>
      <c r="G61" s="13">
        <f>G36/G35</f>
        <v>0.27390072193453635</v>
      </c>
      <c r="H61" s="13">
        <f>H36/H35</f>
        <v>0.40833361184452394</v>
      </c>
    </row>
    <row r="62" spans="1:8" ht="11.25">
      <c r="A62" s="4" t="s">
        <v>55</v>
      </c>
      <c r="B62" s="4"/>
      <c r="C62" s="15">
        <f>(C34)/C25</f>
        <v>0.00263527992213722</v>
      </c>
      <c r="D62" s="15">
        <f>((D34)/0.75)/D25</f>
        <v>0.0020568424183562335</v>
      </c>
      <c r="E62" s="15">
        <f>((E34)/0.5)/E25</f>
        <v>0.002071202870730495</v>
      </c>
      <c r="F62" s="15">
        <f>(F34/0.255)/F25</f>
        <v>0.002387023366324023</v>
      </c>
      <c r="G62" s="15">
        <f>G34/G25</f>
        <v>0.0032201467104068034</v>
      </c>
      <c r="H62" s="15">
        <f>H34/H25</f>
        <v>0.006021411502894949</v>
      </c>
    </row>
    <row r="63" spans="1:8" ht="16.5" customHeight="1">
      <c r="A63" s="6" t="s">
        <v>56</v>
      </c>
      <c r="B63" s="8"/>
      <c r="C63" s="8"/>
      <c r="D63" s="8"/>
      <c r="E63" s="8"/>
      <c r="F63" s="8"/>
      <c r="G63" s="8"/>
      <c r="H63" s="8"/>
    </row>
    <row r="64" spans="1:8" ht="11.25">
      <c r="A64" s="8" t="s">
        <v>57</v>
      </c>
      <c r="B64" s="8"/>
      <c r="C64" s="9">
        <v>2242</v>
      </c>
      <c r="D64" s="9">
        <v>2223</v>
      </c>
      <c r="E64" s="9">
        <v>2204</v>
      </c>
      <c r="F64" s="9">
        <v>2179</v>
      </c>
      <c r="G64" s="9">
        <v>2123</v>
      </c>
      <c r="H64" s="9">
        <v>2116</v>
      </c>
    </row>
    <row r="65" spans="1:8" ht="11.25">
      <c r="A65" s="8" t="s">
        <v>58</v>
      </c>
      <c r="B65" s="8"/>
      <c r="C65" s="9">
        <v>53</v>
      </c>
      <c r="D65" s="9">
        <v>53</v>
      </c>
      <c r="E65" s="9">
        <v>53</v>
      </c>
      <c r="F65" s="9">
        <v>53</v>
      </c>
      <c r="G65" s="9">
        <v>53</v>
      </c>
      <c r="H65" s="9">
        <v>51</v>
      </c>
    </row>
    <row r="66" spans="1:8" ht="11.25">
      <c r="A66" s="8" t="s">
        <v>59</v>
      </c>
      <c r="B66" s="8"/>
      <c r="C66" s="9">
        <f aca="true" t="shared" si="16" ref="C66:H66">C11/C64</f>
        <v>639.3202497769848</v>
      </c>
      <c r="D66" s="9">
        <f t="shared" si="16"/>
        <v>660.9950517318938</v>
      </c>
      <c r="E66" s="9">
        <f t="shared" si="16"/>
        <v>654.7100725952813</v>
      </c>
      <c r="F66" s="9">
        <f t="shared" si="16"/>
        <v>677.4681046351537</v>
      </c>
      <c r="G66" s="9">
        <f t="shared" si="16"/>
        <v>678.329251059821</v>
      </c>
      <c r="H66" s="9">
        <f t="shared" si="16"/>
        <v>643.008034026465</v>
      </c>
    </row>
    <row r="67" spans="1:8" ht="11.25">
      <c r="A67" s="8" t="s">
        <v>60</v>
      </c>
      <c r="B67" s="8"/>
      <c r="C67" s="9">
        <f aca="true" t="shared" si="17" ref="C67:H67">C15/C64</f>
        <v>1177.3925066904549</v>
      </c>
      <c r="D67" s="9">
        <f t="shared" si="17"/>
        <v>1177.2622582096267</v>
      </c>
      <c r="E67" s="9">
        <f t="shared" si="17"/>
        <v>1193.190108892922</v>
      </c>
      <c r="F67" s="9">
        <f t="shared" si="17"/>
        <v>1222.5920146856356</v>
      </c>
      <c r="G67" s="9">
        <f t="shared" si="17"/>
        <v>1306.8243052284504</v>
      </c>
      <c r="H67" s="9">
        <f t="shared" si="17"/>
        <v>1280.0723062381853</v>
      </c>
    </row>
    <row r="68" spans="1:8" ht="11.25">
      <c r="A68" s="4" t="s">
        <v>61</v>
      </c>
      <c r="B68" s="4"/>
      <c r="C68" s="10">
        <f aca="true" t="shared" si="18" ref="C68:H68">C38/C64</f>
        <v>52.29750223015165</v>
      </c>
      <c r="D68" s="10">
        <f t="shared" si="18"/>
        <v>38.66351776878093</v>
      </c>
      <c r="E68" s="10">
        <f t="shared" si="18"/>
        <v>25.486388384754992</v>
      </c>
      <c r="F68" s="10">
        <f t="shared" si="18"/>
        <v>13.189077558513079</v>
      </c>
      <c r="G68" s="10">
        <f t="shared" si="18"/>
        <v>49.60150730098917</v>
      </c>
      <c r="H68" s="10">
        <f t="shared" si="18"/>
        <v>33.465500945179585</v>
      </c>
    </row>
    <row r="69" spans="1:8" ht="15" customHeight="1">
      <c r="A69" s="6" t="s">
        <v>62</v>
      </c>
      <c r="B69" s="8"/>
      <c r="C69" s="8"/>
      <c r="D69" s="8"/>
      <c r="E69" s="8"/>
      <c r="F69" s="8"/>
      <c r="G69" s="8"/>
      <c r="H69" s="8"/>
    </row>
    <row r="70" spans="1:8" ht="11.25">
      <c r="A70" s="8" t="s">
        <v>63</v>
      </c>
      <c r="B70" s="8"/>
      <c r="C70" s="13">
        <f>(C9-G9)/G9</f>
        <v>-0.05200782178510956</v>
      </c>
      <c r="D70" s="18">
        <f>+(D9/3462086)-1</f>
        <v>-0.030604092445999265</v>
      </c>
      <c r="E70" s="18">
        <f>+(E9/3649311)-1</f>
        <v>-0.0768577958962664</v>
      </c>
      <c r="F70" s="18">
        <f>+(F9/3528371)-1</f>
        <v>-0.025783569811677953</v>
      </c>
      <c r="G70" s="13">
        <f>(G9-H9)/H9</f>
        <v>0.014978386843448856</v>
      </c>
      <c r="H70" s="18">
        <f>+(H9/3369339)-1</f>
        <v>0.037048513076303635</v>
      </c>
    </row>
    <row r="71" spans="1:8" ht="11.25">
      <c r="A71" s="8" t="s">
        <v>64</v>
      </c>
      <c r="B71" s="8"/>
      <c r="C71" s="13">
        <f>(C11-G11)/G11</f>
        <v>-0.004678170090403884</v>
      </c>
      <c r="D71" s="18">
        <f>D11/1436160-1</f>
        <v>0.023139483065953703</v>
      </c>
      <c r="E71" s="18">
        <f>E11/1392318-1</f>
        <v>0.03638752066697415</v>
      </c>
      <c r="F71" s="18">
        <f>F11/1401745-1</f>
        <v>0.05311807782442601</v>
      </c>
      <c r="G71" s="13">
        <f>(G11-H11)/H11</f>
        <v>0.058421070038696024</v>
      </c>
      <c r="H71" s="18">
        <f>H11/1328903-1</f>
        <v>0.023855766748965168</v>
      </c>
    </row>
    <row r="72" spans="1:8" ht="11.25">
      <c r="A72" s="8"/>
      <c r="B72" s="8" t="s">
        <v>13</v>
      </c>
      <c r="C72" s="13">
        <f>(C12-G12)/G12</f>
        <v>-0.0012103956049469432</v>
      </c>
      <c r="D72" s="18">
        <f>D12/1431135-1</f>
        <v>0.026714460899915027</v>
      </c>
      <c r="E72" s="18">
        <f>(E12/1387293)-1</f>
        <v>0.040123463464459164</v>
      </c>
      <c r="F72" s="18">
        <f>(F12/1396720)-1</f>
        <v>0.05688899707887041</v>
      </c>
      <c r="G72" s="13">
        <f>(G12-H12)/H12</f>
        <v>0.05474724014758412</v>
      </c>
      <c r="H72" s="18">
        <f>+(H12/1328878)-1</f>
        <v>0.023856215544241</v>
      </c>
    </row>
    <row r="73" spans="1:8" ht="11.25">
      <c r="A73" s="8"/>
      <c r="B73" s="8" t="s">
        <v>14</v>
      </c>
      <c r="C73" s="13">
        <f>(C13-G13)/G13</f>
        <v>-0.9950248756218906</v>
      </c>
      <c r="D73" s="18">
        <f>+(D13/5025)-1</f>
        <v>-0.9950248756218906</v>
      </c>
      <c r="E73" s="18">
        <f>+(E13/5025)-1</f>
        <v>-0.9950248756218906</v>
      </c>
      <c r="F73" s="18">
        <f>+(F13/5025)-1</f>
        <v>-0.9950248756218906</v>
      </c>
      <c r="G73" s="13">
        <f>(G13-H13)/H13</f>
        <v>200</v>
      </c>
      <c r="H73" s="18">
        <f>+(H13/25)-1</f>
        <v>0</v>
      </c>
    </row>
    <row r="74" spans="1:8" ht="11.25">
      <c r="A74" s="8" t="s">
        <v>65</v>
      </c>
      <c r="B74" s="8"/>
      <c r="C74" s="13">
        <f>(C15-G15)/G15</f>
        <v>-0.04854187662288043</v>
      </c>
      <c r="D74" s="19">
        <f>D15/2668750-1</f>
        <v>-0.019370866510538653</v>
      </c>
      <c r="E74" s="18">
        <f>E15/2861448-1</f>
        <v>-0.08095796254204168</v>
      </c>
      <c r="F74" s="18">
        <f>F15/2722567-1</f>
        <v>-0.021501399230946405</v>
      </c>
      <c r="G74" s="13">
        <f>(G15-H15)/H15</f>
        <v>0.02427608317553541</v>
      </c>
      <c r="H74" s="18">
        <f>H15/2636770-1</f>
        <v>0.02725417840767297</v>
      </c>
    </row>
    <row r="75" spans="1:8" ht="11.25">
      <c r="A75" s="8"/>
      <c r="B75" s="8" t="s">
        <v>13</v>
      </c>
      <c r="C75" s="13">
        <f>(C16-G16)/G16</f>
        <v>-0.047024112888105145</v>
      </c>
      <c r="D75" s="18">
        <f>(D16/2621195)-1</f>
        <v>-0.017728173600209063</v>
      </c>
      <c r="E75" s="18">
        <f>(E16/2814100)-1</f>
        <v>-0.07955047795032155</v>
      </c>
      <c r="F75" s="18">
        <f>(F16/2676317)-1</f>
        <v>-0.021583392400825407</v>
      </c>
      <c r="G75" s="13">
        <f>(G16-H16)/H16</f>
        <v>0.02437129493623118</v>
      </c>
      <c r="H75" s="18">
        <f>(H16/2589694)-1</f>
        <v>0.027359989249695182</v>
      </c>
    </row>
    <row r="76" spans="1:8" ht="11.25">
      <c r="A76" s="8"/>
      <c r="B76" s="8" t="s">
        <v>14</v>
      </c>
      <c r="C76" s="13">
        <f>(C20-G20)/G20</f>
        <v>-0.13296189718157514</v>
      </c>
      <c r="D76" s="18">
        <f>(D20/47555)-1</f>
        <v>-0.10991483545368519</v>
      </c>
      <c r="E76" s="18">
        <f>(E20/47348)-1</f>
        <v>-0.16461096561628796</v>
      </c>
      <c r="F76" s="18">
        <f>(F20/49250)-1</f>
        <v>-0.07664974619289344</v>
      </c>
      <c r="G76" s="13">
        <f>(G20-H20)/H20</f>
        <v>0.01900800665488198</v>
      </c>
      <c r="H76" s="18">
        <f>(H20/47076)-1</f>
        <v>0.021433426799218225</v>
      </c>
    </row>
    <row r="77" spans="1:8" ht="11.25">
      <c r="A77" s="8" t="s">
        <v>66</v>
      </c>
      <c r="B77" s="8"/>
      <c r="C77" s="13">
        <f>C23/G23-1</f>
        <v>0</v>
      </c>
      <c r="D77" s="18">
        <f>(D23-508787)/E23</f>
        <v>0.001022</v>
      </c>
      <c r="E77" s="18">
        <f>(E23-500000)/500000</f>
        <v>0</v>
      </c>
      <c r="F77" s="18">
        <f>(F23-532572)/532572</f>
        <v>-0.04172393591852369</v>
      </c>
      <c r="G77" s="13">
        <f>(G23-H23)/H23</f>
        <v>-0.013493436771834844</v>
      </c>
      <c r="H77" s="18">
        <f>H23/436025-1</f>
        <v>0.16240811880052752</v>
      </c>
    </row>
    <row r="78" spans="1:8" ht="11.25">
      <c r="A78" s="4" t="s">
        <v>67</v>
      </c>
      <c r="B78" s="4"/>
      <c r="C78" s="15">
        <f>(C38-G38)/G38</f>
        <v>0.11345248043759021</v>
      </c>
      <c r="D78" s="20">
        <f>D38/79699-1</f>
        <v>0.07842005545866315</v>
      </c>
      <c r="E78" s="21">
        <f>E38/54532-1</f>
        <v>0.030074084940952206</v>
      </c>
      <c r="F78" s="21">
        <f>F38/25734-1</f>
        <v>0.11677158622833606</v>
      </c>
      <c r="G78" s="15">
        <f>(G38-H38)/H38</f>
        <v>0.48707158290144464</v>
      </c>
      <c r="H78" s="21">
        <f>(H38/49267)-1</f>
        <v>0.43733127651369075</v>
      </c>
    </row>
    <row r="79" spans="1:8" ht="11.25">
      <c r="A79" s="8"/>
      <c r="B79" s="8"/>
      <c r="C79" s="8"/>
      <c r="D79" s="8"/>
      <c r="E79" s="8"/>
      <c r="F79" s="8"/>
      <c r="G79" s="8"/>
      <c r="H79" s="8"/>
    </row>
    <row r="80" spans="1:8" ht="11.25">
      <c r="A80" s="8"/>
      <c r="B80" s="8"/>
      <c r="C80" s="8"/>
      <c r="D80" s="8"/>
      <c r="E80" s="8"/>
      <c r="F80" s="8"/>
      <c r="G80" s="8"/>
      <c r="H80" s="8"/>
    </row>
    <row r="81" spans="1:8" ht="11.25">
      <c r="A81" s="8"/>
      <c r="B81" s="8"/>
      <c r="C81" s="8"/>
      <c r="D81" s="8"/>
      <c r="E81" s="8"/>
      <c r="F81" s="8"/>
      <c r="G81" s="8"/>
      <c r="H81" s="8"/>
    </row>
    <row r="82" spans="1:8" ht="11.25">
      <c r="A82" s="8"/>
      <c r="B82" s="8"/>
      <c r="C82" s="8"/>
      <c r="D82" s="8"/>
      <c r="E82" s="8"/>
      <c r="F82" s="8"/>
      <c r="G82" s="8"/>
      <c r="H82" s="8"/>
    </row>
    <row r="83" spans="1:8" ht="11.25">
      <c r="A83" s="8"/>
      <c r="B83" s="8"/>
      <c r="C83" s="8"/>
      <c r="D83" s="8"/>
      <c r="E83" s="8"/>
      <c r="F83" s="8"/>
      <c r="G83" s="8"/>
      <c r="H83" s="8"/>
    </row>
    <row r="84" spans="1:8" ht="11.25">
      <c r="A84" s="8"/>
      <c r="B84" s="8"/>
      <c r="C84" s="8"/>
      <c r="D84" s="8"/>
      <c r="E84" s="8"/>
      <c r="F84" s="8"/>
      <c r="G84" s="8"/>
      <c r="H84" s="8"/>
    </row>
    <row r="85" spans="1:8" ht="11.25">
      <c r="A85" s="8"/>
      <c r="B85" s="8"/>
      <c r="C85" s="8"/>
      <c r="D85" s="8"/>
      <c r="E85" s="8"/>
      <c r="F85" s="8"/>
      <c r="G85" s="8"/>
      <c r="H85" s="8"/>
    </row>
    <row r="86" spans="1:8" ht="11.25">
      <c r="A86" s="8"/>
      <c r="B86" s="8"/>
      <c r="C86" s="8"/>
      <c r="D86" s="8"/>
      <c r="E86" s="8"/>
      <c r="F86" s="8"/>
      <c r="G86" s="8"/>
      <c r="H86" s="8"/>
    </row>
    <row r="87" spans="1:8" ht="11.25">
      <c r="A87" s="8"/>
      <c r="B87" s="8"/>
      <c r="C87" s="8"/>
      <c r="D87" s="8"/>
      <c r="E87" s="8"/>
      <c r="F87" s="8"/>
      <c r="G87" s="8"/>
      <c r="H87" s="8"/>
    </row>
    <row r="88" spans="1:8" ht="11.25">
      <c r="A88" s="8"/>
      <c r="B88" s="8"/>
      <c r="C88" s="8"/>
      <c r="D88" s="8"/>
      <c r="E88" s="8"/>
      <c r="F88" s="8"/>
      <c r="G88" s="8"/>
      <c r="H88" s="8"/>
    </row>
    <row r="89" spans="1:8" ht="11.25">
      <c r="A89" s="8"/>
      <c r="B89" s="8"/>
      <c r="C89" s="8"/>
      <c r="D89" s="8"/>
      <c r="E89" s="8"/>
      <c r="F89" s="8"/>
      <c r="G89" s="8"/>
      <c r="H89" s="8"/>
    </row>
    <row r="90" spans="1:8" ht="11.25">
      <c r="A90" s="8"/>
      <c r="B90" s="8"/>
      <c r="C90" s="8"/>
      <c r="D90" s="8"/>
      <c r="E90" s="8"/>
      <c r="F90" s="8"/>
      <c r="G90" s="8"/>
      <c r="H90" s="8"/>
    </row>
    <row r="91" spans="1:8" ht="11.25">
      <c r="A91" s="8"/>
      <c r="B91" s="8"/>
      <c r="C91" s="8"/>
      <c r="D91" s="8"/>
      <c r="E91" s="8"/>
      <c r="F91" s="8"/>
      <c r="G91" s="8"/>
      <c r="H91" s="8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2002-05-02T16:01:15Z</cp:lastPrinted>
  <dcterms:created xsi:type="dcterms:W3CDTF">2002-03-08T15:05:26Z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