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Metrobank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<sst xmlns="http://schemas.openxmlformats.org/spreadsheetml/2006/main" count="80" uniqueCount="68">
  <si>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18-19    METROBANK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</si>
  <si>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</si>
  <si>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</si>
  <si>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</si>
  <si>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</si>
  <si>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</si>
  <si>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</si>
  <si>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</si>
  <si>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</si>
  <si>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</si>
  <si>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</si>
  <si>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</si>
  <si>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</si>
  <si>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</si>
  <si>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</si>
  <si>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</si>
  <si>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</si>
  <si>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</si>
  <si>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</si>
  <si>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</si>
  <si>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</si>
  <si>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</si>
  <si>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</si>
  <si>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</si>
  <si>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</si>
  <si>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</si>
  <si>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</si>
  <si>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</si>
  <si>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</si>
  <si>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</si>
  <si>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</si>
  <si>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</si>
  <si>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</si>
  <si>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</si>
  <si>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</si>
  <si>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</si>
  <si>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 xml:space="preserve">Préstamos Vencidos / Préstamos Totales 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</si>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</sst>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421875" defaultRowHeight="12.75"/>
  <cols>
    <col min="1" max="1" width="3.00390625" style="1" customWidth="1"/>
    <col min="2" max="2" width="35.8515625" style="1" customWidth="1"/>
    <col min="3" max="3" width="10.7109375" style="1" customWidth="1"/>
    <col min="4" max="4" width="8.8515625" style="1" customWidth="1"/>
    <col min="5" max="5" width="9.140625" style="1" customWidth="1"/>
    <col min="6" max="6" width="9.00390625" style="1" customWidth="1"/>
    <col min="7" max="8" width="10.7109375" style="1" customWidth="1"/>
    <col min="9" max="16384" width="9.8515625" style="1" customWidth="1"/>
  </cols>
  <sheetData>
    <row r="1" spans="2:8" ht="11.25">
      <c r="B1" s="15"/>
      <c r="C1" s="15"/>
      <c r="D1" s="15"/>
      <c r="E1" s="15"/>
      <c r="F1" s="15"/>
      <c r="G1" s="15"/>
      <c r="H1" s="15"/>
    </row>
    <row r="2" spans="2:8" ht="11.25">
      <c r="B2" s="15"/>
      <c r="C2" s="15"/>
      <c r="D2" s="15"/>
      <c r="E2" s="15"/>
      <c r="F2" s="15" t="s">
        <v>0</v>
      </c>
      <c r="G2" s="15"/>
      <c r="H2" s="15"/>
    </row>
    <row r="3" spans="2:8" ht="11.25">
      <c r="B3" s="16"/>
      <c r="C3" s="16"/>
      <c r="D3" s="16"/>
      <c r="E3" s="16"/>
      <c r="F3" s="15" t="s">
        <v>1</v>
      </c>
      <c r="G3" s="16"/>
      <c r="H3" s="16"/>
    </row>
    <row r="4" spans="1:8" ht="11.25">
      <c r="A4" s="16"/>
      <c r="B4" s="16"/>
      <c r="C4" s="16"/>
      <c r="D4" s="16"/>
      <c r="E4" s="16"/>
      <c r="F4" s="16" t="s">
        <v>2</v>
      </c>
      <c r="G4" s="16"/>
      <c r="H4" s="16"/>
    </row>
    <row r="5" spans="1:8" ht="11.25">
      <c r="A5" s="16"/>
      <c r="B5" s="16"/>
      <c r="C5" s="16"/>
      <c r="D5" s="16"/>
      <c r="E5" s="16"/>
      <c r="F5" s="16"/>
      <c r="G5" s="16"/>
      <c r="H5" s="16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92124</v>
      </c>
      <c r="D9" s="8">
        <v>98797</v>
      </c>
      <c r="E9" s="8">
        <v>105907</v>
      </c>
      <c r="F9" s="8">
        <v>92070</v>
      </c>
      <c r="G9" s="8">
        <v>100069</v>
      </c>
      <c r="H9" s="8">
        <v>90611</v>
      </c>
    </row>
    <row r="10" spans="1:8" ht="11.25">
      <c r="A10" s="7" t="s">
        <v>11</v>
      </c>
      <c r="B10" s="7"/>
      <c r="C10" s="8">
        <v>37471</v>
      </c>
      <c r="D10" s="8">
        <v>45717</v>
      </c>
      <c r="E10" s="8">
        <v>45600</v>
      </c>
      <c r="F10" s="8">
        <v>29788</v>
      </c>
      <c r="G10" s="8">
        <v>37693</v>
      </c>
      <c r="H10" s="8">
        <v>27906</v>
      </c>
    </row>
    <row r="11" spans="1:8" ht="11.25">
      <c r="A11" s="7" t="s">
        <v>12</v>
      </c>
      <c r="B11" s="7"/>
      <c r="C11" s="8">
        <f aca="true" t="shared" si="0" ref="C11:H11">C12+C13</f>
        <v>40022</v>
      </c>
      <c r="D11" s="8">
        <f t="shared" si="0"/>
        <v>38423</v>
      </c>
      <c r="E11" s="8">
        <f t="shared" si="0"/>
        <v>46748</v>
      </c>
      <c r="F11" s="8">
        <f t="shared" si="0"/>
        <v>49669</v>
      </c>
      <c r="G11" s="8">
        <f t="shared" si="0"/>
        <v>50187</v>
      </c>
      <c r="H11" s="8">
        <f t="shared" si="0"/>
        <v>58606</v>
      </c>
    </row>
    <row r="12" spans="1:8" ht="11.25">
      <c r="A12" s="7"/>
      <c r="B12" s="7" t="s">
        <v>13</v>
      </c>
      <c r="C12" s="8">
        <v>34196</v>
      </c>
      <c r="D12" s="8">
        <v>30937</v>
      </c>
      <c r="E12" s="8">
        <v>37187</v>
      </c>
      <c r="F12" s="8">
        <v>39147</v>
      </c>
      <c r="G12" s="8">
        <v>39665</v>
      </c>
      <c r="H12" s="8">
        <v>46381</v>
      </c>
    </row>
    <row r="13" spans="1:8" ht="11.25">
      <c r="A13" s="7"/>
      <c r="B13" s="7" t="s">
        <v>14</v>
      </c>
      <c r="C13" s="8">
        <v>5826</v>
      </c>
      <c r="D13" s="8">
        <v>7486</v>
      </c>
      <c r="E13" s="8">
        <v>9561</v>
      </c>
      <c r="F13" s="8">
        <v>10522</v>
      </c>
      <c r="G13" s="8">
        <v>10522</v>
      </c>
      <c r="H13" s="8">
        <v>12225</v>
      </c>
    </row>
    <row r="14" spans="1:8" ht="11.25">
      <c r="A14" s="7" t="s">
        <v>15</v>
      </c>
      <c r="B14" s="7"/>
      <c r="C14" s="8">
        <v>2415</v>
      </c>
      <c r="D14" s="8">
        <v>2415</v>
      </c>
      <c r="E14" s="8">
        <v>2454</v>
      </c>
      <c r="F14" s="8">
        <v>2458</v>
      </c>
      <c r="G14" s="8">
        <v>2458</v>
      </c>
      <c r="H14" s="8">
        <v>1649</v>
      </c>
    </row>
    <row r="15" spans="1:8" ht="11.25">
      <c r="A15" s="7" t="s">
        <v>16</v>
      </c>
      <c r="B15" s="7"/>
      <c r="C15" s="8">
        <f aca="true" t="shared" si="1" ref="C15:H15">C16+C20</f>
        <v>78202</v>
      </c>
      <c r="D15" s="8">
        <f t="shared" si="1"/>
        <v>84675</v>
      </c>
      <c r="E15" s="8">
        <f t="shared" si="1"/>
        <v>89154</v>
      </c>
      <c r="F15" s="8">
        <f t="shared" si="1"/>
        <v>76402</v>
      </c>
      <c r="G15" s="8">
        <f t="shared" si="1"/>
        <v>85780</v>
      </c>
      <c r="H15" s="8">
        <f t="shared" si="1"/>
        <v>77852</v>
      </c>
    </row>
    <row r="16" spans="1:8" ht="11.25">
      <c r="A16" s="7"/>
      <c r="B16" s="7" t="s">
        <v>13</v>
      </c>
      <c r="C16" s="8">
        <f aca="true" t="shared" si="2" ref="C16:H16">SUM(C17:C19)</f>
        <v>56191</v>
      </c>
      <c r="D16" s="8">
        <f t="shared" si="2"/>
        <v>52542</v>
      </c>
      <c r="E16" s="8">
        <f t="shared" si="2"/>
        <v>58685</v>
      </c>
      <c r="F16" s="8">
        <f t="shared" si="2"/>
        <v>56224</v>
      </c>
      <c r="G16" s="8">
        <f t="shared" si="2"/>
        <v>60953</v>
      </c>
      <c r="H16" s="8">
        <f t="shared" si="2"/>
        <v>51939</v>
      </c>
    </row>
    <row r="17" spans="1:8" ht="11.25">
      <c r="A17" s="7"/>
      <c r="B17" s="7" t="s">
        <v>17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1.25">
      <c r="A18" s="7"/>
      <c r="B18" s="7" t="s">
        <v>18</v>
      </c>
      <c r="C18" s="8">
        <v>39356</v>
      </c>
      <c r="D18" s="8">
        <v>36987</v>
      </c>
      <c r="E18" s="8">
        <v>42005</v>
      </c>
      <c r="F18" s="8">
        <v>46112</v>
      </c>
      <c r="G18" s="8">
        <v>46972</v>
      </c>
      <c r="H18" s="8">
        <v>44867</v>
      </c>
    </row>
    <row r="19" spans="1:8" ht="11.25">
      <c r="A19" s="7"/>
      <c r="B19" s="7" t="s">
        <v>19</v>
      </c>
      <c r="C19" s="8">
        <v>16835</v>
      </c>
      <c r="D19" s="8">
        <v>15555</v>
      </c>
      <c r="E19" s="8">
        <v>16680</v>
      </c>
      <c r="F19" s="8">
        <v>10112</v>
      </c>
      <c r="G19" s="8">
        <v>13981</v>
      </c>
      <c r="H19" s="8">
        <v>7072</v>
      </c>
    </row>
    <row r="20" spans="1:8" ht="11.25">
      <c r="A20" s="7"/>
      <c r="B20" s="7" t="s">
        <v>14</v>
      </c>
      <c r="C20" s="8">
        <f aca="true" t="shared" si="3" ref="C20:H20">SUM(C21:C22)</f>
        <v>22011</v>
      </c>
      <c r="D20" s="8">
        <f t="shared" si="3"/>
        <v>32133</v>
      </c>
      <c r="E20" s="8">
        <f t="shared" si="3"/>
        <v>30469</v>
      </c>
      <c r="F20" s="8">
        <f t="shared" si="3"/>
        <v>20178</v>
      </c>
      <c r="G20" s="8">
        <f t="shared" si="3"/>
        <v>24827</v>
      </c>
      <c r="H20" s="8">
        <f t="shared" si="3"/>
        <v>25913</v>
      </c>
    </row>
    <row r="21" spans="1:8" ht="11.25">
      <c r="A21" s="7"/>
      <c r="B21" s="7" t="s">
        <v>18</v>
      </c>
      <c r="C21" s="8">
        <v>12306</v>
      </c>
      <c r="D21" s="8">
        <v>30350</v>
      </c>
      <c r="E21" s="8">
        <v>11933</v>
      </c>
      <c r="F21" s="8">
        <v>16147</v>
      </c>
      <c r="G21" s="8">
        <v>17985</v>
      </c>
      <c r="H21" s="8">
        <v>17228</v>
      </c>
    </row>
    <row r="22" spans="1:8" ht="11.25">
      <c r="A22" s="7"/>
      <c r="B22" s="7" t="s">
        <v>19</v>
      </c>
      <c r="C22" s="8">
        <v>9705</v>
      </c>
      <c r="D22" s="8">
        <v>1783</v>
      </c>
      <c r="E22" s="8">
        <v>18536</v>
      </c>
      <c r="F22" s="8">
        <v>4031</v>
      </c>
      <c r="G22" s="8">
        <v>6842</v>
      </c>
      <c r="H22" s="8">
        <v>8685</v>
      </c>
    </row>
    <row r="23" spans="1:8" ht="11.25">
      <c r="A23" s="3" t="s">
        <v>20</v>
      </c>
      <c r="B23" s="3"/>
      <c r="C23" s="9">
        <v>10671</v>
      </c>
      <c r="D23" s="9">
        <v>11371</v>
      </c>
      <c r="E23" s="9">
        <v>11204</v>
      </c>
      <c r="F23" s="9">
        <v>11429</v>
      </c>
      <c r="G23" s="9">
        <v>11187</v>
      </c>
      <c r="H23" s="9">
        <v>10046</v>
      </c>
    </row>
    <row r="24" spans="1:8" ht="11.25">
      <c r="A24" s="5" t="s">
        <v>21</v>
      </c>
      <c r="B24" s="7"/>
      <c r="C24" s="8"/>
      <c r="D24" s="8"/>
      <c r="E24" s="8"/>
      <c r="F24" s="8"/>
      <c r="G24" s="8"/>
      <c r="H24" s="8"/>
    </row>
    <row r="25" spans="1:8" ht="11.25">
      <c r="A25" s="7" t="s">
        <v>10</v>
      </c>
      <c r="B25" s="7"/>
      <c r="C25" s="8">
        <f>+(C9+G9)/2</f>
        <v>96096.5</v>
      </c>
      <c r="D25" s="8">
        <v>96340</v>
      </c>
      <c r="E25" s="8">
        <v>103164</v>
      </c>
      <c r="F25" s="8">
        <v>90587</v>
      </c>
      <c r="G25" s="8">
        <f>(G9+H9)/2</f>
        <v>95340</v>
      </c>
      <c r="H25" s="8">
        <v>84168</v>
      </c>
    </row>
    <row r="26" spans="1:8" ht="11.25">
      <c r="A26" s="7" t="s">
        <v>22</v>
      </c>
      <c r="B26" s="7"/>
      <c r="C26" s="8">
        <f aca="true" t="shared" si="4" ref="C26:H26">C27+C28</f>
        <v>47541</v>
      </c>
      <c r="D26" s="8">
        <f t="shared" si="4"/>
        <v>51146</v>
      </c>
      <c r="E26" s="8">
        <f t="shared" si="4"/>
        <v>57616</v>
      </c>
      <c r="F26" s="8">
        <f t="shared" si="4"/>
        <v>55776</v>
      </c>
      <c r="G26" s="8">
        <f t="shared" si="4"/>
        <v>56450</v>
      </c>
      <c r="H26" s="8">
        <f t="shared" si="4"/>
        <v>54673</v>
      </c>
    </row>
    <row r="27" spans="1:8" ht="11.25">
      <c r="A27" s="7"/>
      <c r="B27" s="7" t="s">
        <v>12</v>
      </c>
      <c r="C27" s="8">
        <f>+(C11+G11)/2</f>
        <v>45104.5</v>
      </c>
      <c r="D27" s="8">
        <v>48765</v>
      </c>
      <c r="E27" s="8">
        <v>55140</v>
      </c>
      <c r="F27" s="8">
        <v>53283</v>
      </c>
      <c r="G27" s="8">
        <f>(G11+H11)/2</f>
        <v>54396.5</v>
      </c>
      <c r="H27" s="8">
        <v>53763</v>
      </c>
    </row>
    <row r="28" spans="1:8" ht="11.25">
      <c r="A28" s="7"/>
      <c r="B28" s="7" t="s">
        <v>15</v>
      </c>
      <c r="C28" s="8">
        <f>+(C14+G14)/2</f>
        <v>2436.5</v>
      </c>
      <c r="D28" s="8">
        <v>2381</v>
      </c>
      <c r="E28" s="8">
        <v>2476</v>
      </c>
      <c r="F28" s="8">
        <v>2493</v>
      </c>
      <c r="G28" s="8">
        <f>(G14+H14)/2</f>
        <v>2053.5</v>
      </c>
      <c r="H28" s="8">
        <v>910</v>
      </c>
    </row>
    <row r="29" spans="1:8" ht="11.25">
      <c r="A29" s="3" t="s">
        <v>20</v>
      </c>
      <c r="B29" s="3"/>
      <c r="C29" s="9">
        <f>+(C23+G23)/2</f>
        <v>10929</v>
      </c>
      <c r="D29" s="9">
        <v>11180</v>
      </c>
      <c r="E29" s="9">
        <v>10948</v>
      </c>
      <c r="F29" s="9">
        <v>10893</v>
      </c>
      <c r="G29" s="9">
        <f>(G23+H23)/2</f>
        <v>10616.5</v>
      </c>
      <c r="H29" s="9">
        <v>7959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8380</v>
      </c>
      <c r="D31" s="8">
        <v>6368</v>
      </c>
      <c r="E31" s="8">
        <v>4110</v>
      </c>
      <c r="F31" s="8">
        <v>1959</v>
      </c>
      <c r="G31" s="8">
        <v>8346</v>
      </c>
      <c r="H31" s="8">
        <v>7142</v>
      </c>
    </row>
    <row r="32" spans="1:8" ht="11.25">
      <c r="A32" s="7" t="s">
        <v>25</v>
      </c>
      <c r="B32" s="7"/>
      <c r="C32" s="8">
        <v>6027</v>
      </c>
      <c r="D32" s="8">
        <v>4648</v>
      </c>
      <c r="E32" s="8">
        <v>2965</v>
      </c>
      <c r="F32" s="8">
        <v>1376</v>
      </c>
      <c r="G32" s="8">
        <v>5599</v>
      </c>
      <c r="H32" s="8">
        <v>4819</v>
      </c>
    </row>
    <row r="33" spans="1:8" ht="11.25">
      <c r="A33" s="7" t="s">
        <v>26</v>
      </c>
      <c r="B33" s="7"/>
      <c r="C33" s="8">
        <f aca="true" t="shared" si="5" ref="C33:H33">C31-C32</f>
        <v>2353</v>
      </c>
      <c r="D33" s="8">
        <f t="shared" si="5"/>
        <v>1720</v>
      </c>
      <c r="E33" s="8">
        <f t="shared" si="5"/>
        <v>1145</v>
      </c>
      <c r="F33" s="8">
        <f t="shared" si="5"/>
        <v>583</v>
      </c>
      <c r="G33" s="8">
        <f t="shared" si="5"/>
        <v>2747</v>
      </c>
      <c r="H33" s="8">
        <f t="shared" si="5"/>
        <v>2323</v>
      </c>
    </row>
    <row r="34" spans="1:8" ht="11.25">
      <c r="A34" s="7" t="s">
        <v>27</v>
      </c>
      <c r="B34" s="7"/>
      <c r="C34" s="8">
        <v>407</v>
      </c>
      <c r="D34" s="8">
        <v>301</v>
      </c>
      <c r="E34" s="8">
        <v>215</v>
      </c>
      <c r="F34" s="8">
        <v>121</v>
      </c>
      <c r="G34" s="8">
        <v>644</v>
      </c>
      <c r="H34" s="8">
        <v>666</v>
      </c>
    </row>
    <row r="35" spans="1:8" ht="11.25">
      <c r="A35" s="7" t="s">
        <v>28</v>
      </c>
      <c r="B35" s="7"/>
      <c r="C35" s="8">
        <f aca="true" t="shared" si="6" ref="C35:H35">C33+C34</f>
        <v>2760</v>
      </c>
      <c r="D35" s="8">
        <f t="shared" si="6"/>
        <v>2021</v>
      </c>
      <c r="E35" s="8">
        <f t="shared" si="6"/>
        <v>1360</v>
      </c>
      <c r="F35" s="8">
        <f t="shared" si="6"/>
        <v>704</v>
      </c>
      <c r="G35" s="8">
        <f t="shared" si="6"/>
        <v>3391</v>
      </c>
      <c r="H35" s="8">
        <f t="shared" si="6"/>
        <v>2989</v>
      </c>
    </row>
    <row r="36" spans="1:8" ht="11.25">
      <c r="A36" s="7" t="s">
        <v>29</v>
      </c>
      <c r="B36" s="7"/>
      <c r="C36" s="8">
        <v>1925</v>
      </c>
      <c r="D36" s="8">
        <v>1412</v>
      </c>
      <c r="E36" s="8">
        <v>914</v>
      </c>
      <c r="F36" s="8">
        <v>450</v>
      </c>
      <c r="G36" s="8">
        <v>2072</v>
      </c>
      <c r="H36" s="8">
        <v>1460</v>
      </c>
    </row>
    <row r="37" spans="1:8" ht="11.25">
      <c r="A37" s="7" t="s">
        <v>30</v>
      </c>
      <c r="B37" s="7"/>
      <c r="C37" s="8">
        <f aca="true" t="shared" si="7" ref="C37:H37">C35-C36</f>
        <v>835</v>
      </c>
      <c r="D37" s="8">
        <f t="shared" si="7"/>
        <v>609</v>
      </c>
      <c r="E37" s="8">
        <f t="shared" si="7"/>
        <v>446</v>
      </c>
      <c r="F37" s="8">
        <f t="shared" si="7"/>
        <v>254</v>
      </c>
      <c r="G37" s="8">
        <f t="shared" si="7"/>
        <v>1319</v>
      </c>
      <c r="H37" s="8">
        <f t="shared" si="7"/>
        <v>1529</v>
      </c>
    </row>
    <row r="38" spans="1:8" ht="11.25">
      <c r="A38" s="3" t="s">
        <v>31</v>
      </c>
      <c r="B38" s="3"/>
      <c r="C38" s="9">
        <v>625</v>
      </c>
      <c r="D38" s="9">
        <v>609</v>
      </c>
      <c r="E38" s="9">
        <v>446</v>
      </c>
      <c r="F38" s="9">
        <v>254</v>
      </c>
      <c r="G38" s="9">
        <v>1024</v>
      </c>
      <c r="H38" s="9">
        <v>1216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143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1.25">
      <c r="A41" s="7" t="s">
        <v>34</v>
      </c>
      <c r="B41" s="7"/>
      <c r="C41" s="8">
        <v>610</v>
      </c>
      <c r="D41" s="8">
        <v>3615</v>
      </c>
      <c r="E41" s="8">
        <v>3354</v>
      </c>
      <c r="F41" s="8">
        <v>4222</v>
      </c>
      <c r="G41" s="8">
        <v>2001</v>
      </c>
      <c r="H41" s="8">
        <v>147</v>
      </c>
    </row>
    <row r="42" spans="1:8" ht="11.25">
      <c r="A42" s="7" t="s">
        <v>35</v>
      </c>
      <c r="B42" s="7"/>
      <c r="C42" s="10">
        <f aca="true" t="shared" si="8" ref="C42:H42">C40/C11</f>
        <v>0.0035730348308430364</v>
      </c>
      <c r="D42" s="10">
        <f t="shared" si="8"/>
        <v>0</v>
      </c>
      <c r="E42" s="10">
        <f t="shared" si="8"/>
        <v>0</v>
      </c>
      <c r="F42" s="10">
        <f t="shared" si="8"/>
        <v>0</v>
      </c>
      <c r="G42" s="10">
        <f t="shared" si="8"/>
        <v>0</v>
      </c>
      <c r="H42" s="10">
        <f t="shared" si="8"/>
        <v>0</v>
      </c>
    </row>
    <row r="43" spans="1:8" ht="11.25">
      <c r="A43" s="7" t="s">
        <v>36</v>
      </c>
      <c r="B43" s="7"/>
      <c r="C43" s="10">
        <f aca="true" t="shared" si="9" ref="C43:H43">C41/C11</f>
        <v>0.015241617110589176</v>
      </c>
      <c r="D43" s="10">
        <f t="shared" si="9"/>
        <v>0.09408427244098587</v>
      </c>
      <c r="E43" s="10">
        <f t="shared" si="9"/>
        <v>0.07174638487208009</v>
      </c>
      <c r="F43" s="10">
        <f t="shared" si="9"/>
        <v>0.08500271799311442</v>
      </c>
      <c r="G43" s="10">
        <f t="shared" si="9"/>
        <v>0.039870882897961625</v>
      </c>
      <c r="H43" s="10">
        <f t="shared" si="9"/>
        <v>0.002508275603180562</v>
      </c>
    </row>
    <row r="44" spans="1:8" ht="11.25">
      <c r="A44" s="11" t="s">
        <v>37</v>
      </c>
      <c r="B44" s="7"/>
      <c r="C44" s="10">
        <f aca="true" t="shared" si="10" ref="C44:H44">(C40+C41)/C11</f>
        <v>0.01881465194143221</v>
      </c>
      <c r="D44" s="10">
        <f t="shared" si="10"/>
        <v>0.09408427244098587</v>
      </c>
      <c r="E44" s="10">
        <f t="shared" si="10"/>
        <v>0.07174638487208009</v>
      </c>
      <c r="F44" s="10">
        <f t="shared" si="10"/>
        <v>0.08500271799311442</v>
      </c>
      <c r="G44" s="10">
        <f t="shared" si="10"/>
        <v>0.039870882897961625</v>
      </c>
      <c r="H44" s="10">
        <f t="shared" si="10"/>
        <v>0.002508275603180562</v>
      </c>
    </row>
    <row r="45" spans="1:8" ht="11.25">
      <c r="A45" s="7" t="s">
        <v>38</v>
      </c>
      <c r="B45" s="7"/>
      <c r="C45" s="10">
        <v>0.0111</v>
      </c>
      <c r="D45" s="10">
        <v>0.0061</v>
      </c>
      <c r="E45" s="10">
        <v>0.005</v>
      </c>
      <c r="F45" s="10">
        <v>0.0047</v>
      </c>
      <c r="G45" s="10">
        <v>0.0047</v>
      </c>
      <c r="H45" s="10">
        <v>0.0036</v>
      </c>
    </row>
    <row r="46" spans="1:8" ht="11.25">
      <c r="A46" s="3" t="s">
        <v>39</v>
      </c>
      <c r="B46" s="3"/>
      <c r="C46" s="12">
        <v>0.5909</v>
      </c>
      <c r="D46" s="12">
        <v>0.0648</v>
      </c>
      <c r="E46" s="12">
        <v>0.0699</v>
      </c>
      <c r="F46" s="12">
        <v>0.0555</v>
      </c>
      <c r="G46" s="12">
        <v>0.1172</v>
      </c>
      <c r="H46" s="12">
        <v>1.4156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0.2514550981454863</v>
      </c>
      <c r="D48" s="10">
        <f t="shared" si="11"/>
        <v>0.27844164748518535</v>
      </c>
      <c r="E48" s="10">
        <f t="shared" si="11"/>
        <v>0.22771432055607496</v>
      </c>
      <c r="F48" s="10">
        <f t="shared" si="11"/>
        <v>0.2192529783029908</v>
      </c>
      <c r="G48" s="10">
        <f t="shared" si="11"/>
        <v>0.2124988128027353</v>
      </c>
      <c r="H48" s="10">
        <f t="shared" si="11"/>
        <v>0.1667247531325201</v>
      </c>
    </row>
    <row r="49" spans="1:8" ht="11.25">
      <c r="A49" s="3" t="s">
        <v>42</v>
      </c>
      <c r="B49" s="3"/>
      <c r="C49" s="12">
        <f aca="true" t="shared" si="12" ref="C49:H49">C23/C11</f>
        <v>0.2666283544050772</v>
      </c>
      <c r="D49" s="12">
        <f t="shared" si="12"/>
        <v>0.2959425344194883</v>
      </c>
      <c r="E49" s="12">
        <f t="shared" si="12"/>
        <v>0.23966800718747325</v>
      </c>
      <c r="F49" s="12">
        <f t="shared" si="12"/>
        <v>0.23010328373834787</v>
      </c>
      <c r="G49" s="12">
        <f t="shared" si="12"/>
        <v>0.22290633032458604</v>
      </c>
      <c r="H49" s="12">
        <f t="shared" si="12"/>
        <v>0.17141589598334642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0.4791565433109128</v>
      </c>
      <c r="D51" s="13">
        <f t="shared" si="13"/>
        <v>0.539911426040744</v>
      </c>
      <c r="E51" s="13">
        <f t="shared" si="13"/>
        <v>0.5114745272225587</v>
      </c>
      <c r="F51" s="13">
        <f t="shared" si="13"/>
        <v>0.389885081542368</v>
      </c>
      <c r="G51" s="13">
        <f t="shared" si="13"/>
        <v>0.4394147820004663</v>
      </c>
      <c r="H51" s="13">
        <f t="shared" si="13"/>
        <v>0.35844936546267275</v>
      </c>
    </row>
    <row r="52" spans="1:8" ht="11.25">
      <c r="A52" s="7" t="s">
        <v>45</v>
      </c>
      <c r="B52" s="7"/>
      <c r="C52" s="13">
        <f aca="true" t="shared" si="14" ref="C52:H52">C10/C9</f>
        <v>0.4067452563935565</v>
      </c>
      <c r="D52" s="13">
        <f t="shared" si="14"/>
        <v>0.46273672277498307</v>
      </c>
      <c r="E52" s="13">
        <f t="shared" si="14"/>
        <v>0.43056644036749225</v>
      </c>
      <c r="F52" s="13">
        <f t="shared" si="14"/>
        <v>0.3235364396654719</v>
      </c>
      <c r="G52" s="13">
        <f t="shared" si="14"/>
        <v>0.3766700976326335</v>
      </c>
      <c r="H52" s="13">
        <f t="shared" si="14"/>
        <v>0.3079758528214014</v>
      </c>
    </row>
    <row r="53" spans="1:8" ht="11.25">
      <c r="A53" s="3" t="s">
        <v>46</v>
      </c>
      <c r="B53" s="3"/>
      <c r="C53" s="14">
        <f aca="true" t="shared" si="15" ref="C53:H53">(C10+C14)/C15</f>
        <v>0.5100381064422905</v>
      </c>
      <c r="D53" s="14">
        <f t="shared" si="15"/>
        <v>0.5684322409211692</v>
      </c>
      <c r="E53" s="14">
        <f t="shared" si="15"/>
        <v>0.5389999327007201</v>
      </c>
      <c r="F53" s="14">
        <f t="shared" si="15"/>
        <v>0.4220570142142876</v>
      </c>
      <c r="G53" s="14">
        <f t="shared" si="15"/>
        <v>0.46806948006528326</v>
      </c>
      <c r="H53" s="14">
        <f t="shared" si="15"/>
        <v>0.37963058110260495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0.013146547190845796</v>
      </c>
      <c r="D55" s="10">
        <f>((D38)/0.75)/D26</f>
        <v>0.01587611934462128</v>
      </c>
      <c r="E55" s="10">
        <f>((E38)/0.5)/E26</f>
        <v>0.0154818106081644</v>
      </c>
      <c r="F55" s="10">
        <f>((F38)/0.25)/F26</f>
        <v>0.01821572002294894</v>
      </c>
      <c r="G55" s="10">
        <f>G38/G26</f>
        <v>0.018139946855624447</v>
      </c>
      <c r="H55" s="10">
        <f>H38/H26</f>
        <v>0.022241325700071334</v>
      </c>
    </row>
    <row r="56" spans="1:8" ht="11.25">
      <c r="A56" s="7" t="s">
        <v>49</v>
      </c>
      <c r="B56" s="7"/>
      <c r="C56" s="10">
        <f>(C38)/C25</f>
        <v>0.0065038789133839425</v>
      </c>
      <c r="D56" s="10">
        <f>((D38)/0.75)/D25</f>
        <v>0.008428482457961387</v>
      </c>
      <c r="E56" s="10">
        <f>((E38)/0.5)/E25</f>
        <v>0.008646427048195108</v>
      </c>
      <c r="F56" s="10">
        <f>((F38)/0.25)/F25</f>
        <v>0.011215737357457472</v>
      </c>
      <c r="G56" s="10">
        <f>G38/G25</f>
        <v>0.010740507656807216</v>
      </c>
      <c r="H56" s="10">
        <f>H38/H25</f>
        <v>0.014447295884421634</v>
      </c>
    </row>
    <row r="57" spans="1:8" ht="11.25">
      <c r="A57" s="7" t="s">
        <v>50</v>
      </c>
      <c r="B57" s="7"/>
      <c r="C57" s="10">
        <f>(C38)/C29</f>
        <v>0.05718729984445054</v>
      </c>
      <c r="D57" s="10">
        <f>((D38)/0.75)/D29</f>
        <v>0.07262969588550984</v>
      </c>
      <c r="E57" s="10">
        <f>((E38)/0.5)/E29</f>
        <v>0.08147606868834491</v>
      </c>
      <c r="F57" s="10">
        <f>((F38)/0.25)/F29</f>
        <v>0.09327090792251905</v>
      </c>
      <c r="G57" s="10">
        <f>G38/G29</f>
        <v>0.09645363349503132</v>
      </c>
      <c r="H57" s="10">
        <f>H38/H29</f>
        <v>0.1527830129413243</v>
      </c>
    </row>
    <row r="58" spans="1:8" ht="11.25">
      <c r="A58" s="7" t="s">
        <v>51</v>
      </c>
      <c r="B58" s="7"/>
      <c r="C58" s="10">
        <f>(C31)/C25</f>
        <v>0.08720400847065189</v>
      </c>
      <c r="D58" s="10">
        <f>((D31)/0.75)/D25</f>
        <v>0.08813230918275551</v>
      </c>
      <c r="E58" s="10">
        <f>((E31)/0.5)/E25</f>
        <v>0.07967895777596837</v>
      </c>
      <c r="F58" s="10">
        <f>((F31)/0.25)/F25</f>
        <v>0.08650247828054798</v>
      </c>
      <c r="G58" s="10">
        <f>G31/G25</f>
        <v>0.08753933291378226</v>
      </c>
      <c r="H58" s="10">
        <f>H31/H25</f>
        <v>0.08485410132116719</v>
      </c>
    </row>
    <row r="59" spans="1:8" ht="11.25">
      <c r="A59" s="7" t="s">
        <v>52</v>
      </c>
      <c r="B59" s="7"/>
      <c r="C59" s="10">
        <f>(C32)/C25</f>
        <v>0.06271820513754403</v>
      </c>
      <c r="D59" s="10">
        <f>((D32)/0.75)/D25</f>
        <v>0.06432772818490069</v>
      </c>
      <c r="E59" s="10">
        <f>((E32)/0.5)/E25</f>
        <v>0.05748129192353922</v>
      </c>
      <c r="F59" s="10">
        <f>((F32)/0.25)/F25</f>
        <v>0.06075927009394284</v>
      </c>
      <c r="G59" s="10">
        <f>G32/G25</f>
        <v>0.05872666247115586</v>
      </c>
      <c r="H59" s="10">
        <f>H32/H25</f>
        <v>0.05725453854196369</v>
      </c>
    </row>
    <row r="60" spans="1:8" ht="11.25">
      <c r="A60" s="7" t="s">
        <v>53</v>
      </c>
      <c r="B60" s="7"/>
      <c r="C60" s="10">
        <f>(C33)/C25</f>
        <v>0.024485803333107865</v>
      </c>
      <c r="D60" s="10">
        <f>((D33)/0.75)/D25</f>
        <v>0.023804580997854822</v>
      </c>
      <c r="E60" s="10">
        <f>((E33)/0.5)/E25</f>
        <v>0.022197665852429143</v>
      </c>
      <c r="F60" s="10">
        <f>((F33)/0.25)/F25</f>
        <v>0.02574320818660514</v>
      </c>
      <c r="G60" s="10">
        <f>G33/G25</f>
        <v>0.02881267044262639</v>
      </c>
      <c r="H60" s="10">
        <f>H33/H25</f>
        <v>0.027599562779203498</v>
      </c>
    </row>
    <row r="61" spans="1:8" ht="11.25">
      <c r="A61" s="7" t="s">
        <v>54</v>
      </c>
      <c r="B61" s="7"/>
      <c r="C61" s="10">
        <f>(C36)/(C35)</f>
        <v>0.697463768115942</v>
      </c>
      <c r="D61" s="10">
        <f>((D36)/0.75)/((D35)/0.75)</f>
        <v>0.698664027709055</v>
      </c>
      <c r="E61" s="10">
        <f>((E36)/0.5)/((E35)/0.5)</f>
        <v>0.6720588235294118</v>
      </c>
      <c r="F61" s="10">
        <f>(F36/0.25)/(F35/0.25)</f>
        <v>0.6392045454545454</v>
      </c>
      <c r="G61" s="10">
        <f>G36/G35</f>
        <v>0.6110291949277499</v>
      </c>
      <c r="H61" s="10">
        <f>H36/H35</f>
        <v>0.4884576781532285</v>
      </c>
    </row>
    <row r="62" spans="1:8" ht="11.25">
      <c r="A62" s="3" t="s">
        <v>55</v>
      </c>
      <c r="B62" s="3"/>
      <c r="C62" s="12">
        <f>(C34)/C25</f>
        <v>0.004235325948395623</v>
      </c>
      <c r="D62" s="12">
        <f>((D34)/0.75)/D25</f>
        <v>0.004165801674624593</v>
      </c>
      <c r="E62" s="12">
        <f>((E34)/0.5)/E25</f>
        <v>0.00416812066224652</v>
      </c>
      <c r="F62" s="12">
        <f>(F34/0.255)/F25</f>
        <v>0.005238166667640706</v>
      </c>
      <c r="G62" s="12">
        <f>G34/G25</f>
        <v>0.006754772393538913</v>
      </c>
      <c r="H62" s="12">
        <f>H34/H25</f>
        <v>0.007912745936698032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57</v>
      </c>
      <c r="D64" s="8">
        <v>58</v>
      </c>
      <c r="E64" s="8">
        <v>54</v>
      </c>
      <c r="F64" s="8">
        <v>54</v>
      </c>
      <c r="G64" s="8">
        <v>55</v>
      </c>
      <c r="H64" s="8">
        <v>43</v>
      </c>
    </row>
    <row r="65" spans="1:8" ht="11.25">
      <c r="A65" s="7" t="s">
        <v>58</v>
      </c>
      <c r="B65" s="7"/>
      <c r="C65" s="8">
        <v>3</v>
      </c>
      <c r="D65" s="8">
        <v>3</v>
      </c>
      <c r="E65" s="8">
        <v>3</v>
      </c>
      <c r="F65" s="8">
        <v>3</v>
      </c>
      <c r="G65" s="8">
        <v>3</v>
      </c>
      <c r="H65" s="8">
        <v>3</v>
      </c>
    </row>
    <row r="66" spans="1:8" ht="11.25">
      <c r="A66" s="7" t="s">
        <v>59</v>
      </c>
      <c r="B66" s="7"/>
      <c r="C66" s="8">
        <f aca="true" t="shared" si="16" ref="C66:H66">C11/C64</f>
        <v>702.140350877193</v>
      </c>
      <c r="D66" s="8">
        <f t="shared" si="16"/>
        <v>662.4655172413793</v>
      </c>
      <c r="E66" s="8">
        <f t="shared" si="16"/>
        <v>865.7037037037037</v>
      </c>
      <c r="F66" s="8">
        <f t="shared" si="16"/>
        <v>919.7962962962963</v>
      </c>
      <c r="G66" s="8">
        <f t="shared" si="16"/>
        <v>912.4909090909091</v>
      </c>
      <c r="H66" s="8">
        <f t="shared" si="16"/>
        <v>1362.9302325581396</v>
      </c>
    </row>
    <row r="67" spans="1:8" ht="11.25">
      <c r="A67" s="7" t="s">
        <v>60</v>
      </c>
      <c r="B67" s="7"/>
      <c r="C67" s="8">
        <f aca="true" t="shared" si="17" ref="C67:H67">C15/C64</f>
        <v>1371.9649122807018</v>
      </c>
      <c r="D67" s="8">
        <f t="shared" si="17"/>
        <v>1459.9137931034484</v>
      </c>
      <c r="E67" s="8">
        <f t="shared" si="17"/>
        <v>1651</v>
      </c>
      <c r="F67" s="8">
        <f t="shared" si="17"/>
        <v>1414.851851851852</v>
      </c>
      <c r="G67" s="8">
        <f t="shared" si="17"/>
        <v>1559.6363636363637</v>
      </c>
      <c r="H67" s="8">
        <f t="shared" si="17"/>
        <v>1810.5116279069769</v>
      </c>
    </row>
    <row r="68" spans="1:8" ht="11.25">
      <c r="A68" s="3" t="s">
        <v>61</v>
      </c>
      <c r="B68" s="3"/>
      <c r="C68" s="9">
        <f aca="true" t="shared" si="18" ref="C68:H68">C38/C64</f>
        <v>10.964912280701755</v>
      </c>
      <c r="D68" s="9">
        <f t="shared" si="18"/>
        <v>10.5</v>
      </c>
      <c r="E68" s="9">
        <f t="shared" si="18"/>
        <v>8.25925925925926</v>
      </c>
      <c r="F68" s="9">
        <f t="shared" si="18"/>
        <v>4.703703703703703</v>
      </c>
      <c r="G68" s="9">
        <f t="shared" si="18"/>
        <v>18.618181818181817</v>
      </c>
      <c r="H68" s="9">
        <f t="shared" si="18"/>
        <v>28.27906976744186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-0.07939521730006295</v>
      </c>
      <c r="D70" s="10">
        <f>(D9-93884)/93884</f>
        <v>0.05233053555451408</v>
      </c>
      <c r="E70" s="10">
        <f>(E9-100422)/100422</f>
        <v>0.05461950568600506</v>
      </c>
      <c r="F70" s="10">
        <f>(F9-89105)/89105</f>
        <v>0.03327534930699736</v>
      </c>
      <c r="G70" s="10">
        <f>(G9-H9)/H9</f>
        <v>0.10438026288199005</v>
      </c>
      <c r="H70" s="10">
        <f>(H9-77726)/77726</f>
        <v>0.16577464426318092</v>
      </c>
    </row>
    <row r="71" spans="1:8" ht="11.25">
      <c r="A71" s="7" t="s">
        <v>64</v>
      </c>
      <c r="B71" s="7"/>
      <c r="C71" s="10">
        <f>C11/G11-1</f>
        <v>-0.20254249108334832</v>
      </c>
      <c r="D71" s="10">
        <f>D11/59108-1</f>
        <v>-0.3499526290857413</v>
      </c>
      <c r="E71" s="10">
        <f>E11/63532-1</f>
        <v>-0.26418182962916326</v>
      </c>
      <c r="F71" s="10">
        <f>F11/56897-1</f>
        <v>-0.12703657486334952</v>
      </c>
      <c r="G71" s="10">
        <f>G11/H11-1</f>
        <v>-0.14365423335494665</v>
      </c>
      <c r="H71" s="10">
        <f>H11/48921-1</f>
        <v>0.19797224095991495</v>
      </c>
    </row>
    <row r="72" spans="1:8" ht="11.25">
      <c r="A72" s="7"/>
      <c r="B72" s="7" t="s">
        <v>13</v>
      </c>
      <c r="C72" s="10">
        <f>(C12-G12)/G12</f>
        <v>-0.13787974284633808</v>
      </c>
      <c r="D72" s="10">
        <f>(D12-49273)/49273</f>
        <v>-0.3721307815639397</v>
      </c>
      <c r="E72" s="10">
        <f>(E12-50307)/50307</f>
        <v>-0.26079869600651995</v>
      </c>
      <c r="F72" s="10">
        <f>(F12-49078)/49078</f>
        <v>-0.20235135906108642</v>
      </c>
      <c r="G72" s="10">
        <f>(G12-H12)/H12</f>
        <v>-0.14480067268924776</v>
      </c>
      <c r="H72" s="10">
        <f>(H12-39915)/39915</f>
        <v>0.16199423775522986</v>
      </c>
    </row>
    <row r="73" spans="1:8" ht="11.25">
      <c r="A73" s="7"/>
      <c r="B73" s="7" t="s">
        <v>14</v>
      </c>
      <c r="C73" s="10">
        <f>(C13-G13)/G13</f>
        <v>-0.44630298422353165</v>
      </c>
      <c r="D73" s="10">
        <f>(D13-9835)/9835</f>
        <v>-0.23884087442806304</v>
      </c>
      <c r="E73" s="10">
        <f>(E13-13225)/13225</f>
        <v>-0.2770510396975425</v>
      </c>
      <c r="F73" s="10">
        <f>(F13-7818)/7818</f>
        <v>0.34586850856996676</v>
      </c>
      <c r="G73" s="10">
        <f>(G13-H13)/H13</f>
        <v>-0.1393047034764826</v>
      </c>
      <c r="H73" s="10">
        <f>(H13-9006)/9006</f>
        <v>0.3574283810792805</v>
      </c>
    </row>
    <row r="74" spans="1:8" ht="11.25">
      <c r="A74" s="7" t="s">
        <v>65</v>
      </c>
      <c r="B74" s="7"/>
      <c r="C74" s="10">
        <f>C15/G15-1</f>
        <v>-0.08834227092562363</v>
      </c>
      <c r="D74" s="10">
        <f>D15/78888-1</f>
        <v>0.07335716458776997</v>
      </c>
      <c r="E74" s="10">
        <f>E15/86526-1</f>
        <v>0.030372373621801563</v>
      </c>
      <c r="F74" s="10">
        <f>F15/75112-1</f>
        <v>0.01717435296623715</v>
      </c>
      <c r="G74" s="10">
        <f>G15/H15-1</f>
        <v>0.10183424960180854</v>
      </c>
      <c r="H74" s="10">
        <f>H15/69374-1</f>
        <v>0.12220716695015432</v>
      </c>
    </row>
    <row r="75" spans="1:8" ht="11.25">
      <c r="A75" s="7"/>
      <c r="B75" s="7" t="s">
        <v>13</v>
      </c>
      <c r="C75" s="10">
        <f>(C16-G16)/G16</f>
        <v>-0.07812576903515824</v>
      </c>
      <c r="D75" s="10">
        <f>(D16-55668)/55668</f>
        <v>-0.05615434360853632</v>
      </c>
      <c r="E75" s="10">
        <f>(E16-54976)/54976</f>
        <v>0.06746580325960419</v>
      </c>
      <c r="F75" s="10">
        <f>(F16-49959)/49959</f>
        <v>0.1254028303208631</v>
      </c>
      <c r="G75" s="10">
        <f>(G16-H16)/H16</f>
        <v>0.17354974104237664</v>
      </c>
      <c r="H75" s="10">
        <f>(H16-42299)/42299</f>
        <v>0.2279013688266862</v>
      </c>
    </row>
    <row r="76" spans="1:8" ht="11.25">
      <c r="A76" s="7"/>
      <c r="B76" s="7" t="s">
        <v>14</v>
      </c>
      <c r="C76" s="10">
        <f>(C20-G20)/G20</f>
        <v>-0.11342490031014621</v>
      </c>
      <c r="D76" s="10">
        <f>(D20-23219)/23219</f>
        <v>0.38390972910116716</v>
      </c>
      <c r="E76" s="10">
        <f>(E20-31551)/31551</f>
        <v>-0.034293683243003394</v>
      </c>
      <c r="F76" s="10">
        <f>(F20-25152)/25152</f>
        <v>-0.19775763358778625</v>
      </c>
      <c r="G76" s="10">
        <f>(G20-H20)/H20</f>
        <v>-0.04190946629105082</v>
      </c>
      <c r="H76" s="10">
        <f>(H20-27075)/27075</f>
        <v>-0.04291782086795937</v>
      </c>
    </row>
    <row r="77" spans="1:8" ht="11.25">
      <c r="A77" s="7" t="s">
        <v>66</v>
      </c>
      <c r="B77" s="7"/>
      <c r="C77" s="10">
        <f>(C23-G23)/G23</f>
        <v>-0.04612496647894878</v>
      </c>
      <c r="D77" s="10">
        <f>(D23-10991)/10991</f>
        <v>0.03457374215267037</v>
      </c>
      <c r="E77" s="10">
        <f>(E23-10692)/10692</f>
        <v>0.04788627010849233</v>
      </c>
      <c r="F77" s="10">
        <f>(F23-10358)/10358</f>
        <v>0.10339833944776984</v>
      </c>
      <c r="G77" s="10">
        <f>(G23-H23)/H23</f>
        <v>0.11357754330081625</v>
      </c>
      <c r="H77" s="10">
        <f>(H23-5872)/5872</f>
        <v>0.7108310626702997</v>
      </c>
    </row>
    <row r="78" spans="1:8" ht="11.25">
      <c r="A78" s="3" t="s">
        <v>67</v>
      </c>
      <c r="B78" s="3"/>
      <c r="C78" s="12">
        <f>C38/G38-1</f>
        <v>-0.3896484375</v>
      </c>
      <c r="D78" s="12">
        <f>D38/828-1</f>
        <v>-0.26449275362318836</v>
      </c>
      <c r="E78" s="12">
        <f>E38/644-1</f>
        <v>-0.3074534161490683</v>
      </c>
      <c r="F78" s="12">
        <f>F38/311-1</f>
        <v>-0.18327974276527326</v>
      </c>
      <c r="G78" s="12">
        <f>(G38-H38)/H38</f>
        <v>-0.15789473684210525</v>
      </c>
      <c r="H78" s="12">
        <f>(H38-1003)/1003</f>
        <v>0.2123629112662014</v>
      </c>
    </row>
    <row r="79" spans="1:8" ht="9">
      <c r="A79" s="2"/>
      <c r="B79" s="2"/>
      <c r="C79" s="2"/>
      <c r="D79" s="2"/>
      <c r="E79" s="2"/>
      <c r="F79" s="2"/>
      <c r="G79" s="2"/>
      <c r="H79" s="2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2002-05-02T16:24:51Z</cp:lastPrinted>
  <dcterms:created xsi:type="dcterms:W3CDTF">2002-03-08T15:20:26Z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