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Istm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<sst xmlns="http://schemas.openxmlformats.org/spreadsheetml/2006/main" count="80" uniqueCount="68">
  <si>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18-16     PRIMER BANCO DEL ISTMO,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</si>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</sst>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11.421875" defaultRowHeight="12.75"/>
  <cols>
    <col min="1" max="1" width="3.140625" style="1" customWidth="1"/>
    <col min="2" max="2" width="35.00390625" style="1" customWidth="1"/>
    <col min="3" max="3" width="10.8515625" style="1" customWidth="1"/>
    <col min="4" max="6" width="9.8515625" style="1" customWidth="1"/>
    <col min="7" max="7" width="11.28125" style="1" customWidth="1"/>
    <col min="8" max="8" width="10.710937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17"/>
      <c r="B6" s="17"/>
      <c r="C6" s="17"/>
      <c r="D6" s="17"/>
      <c r="E6" s="17"/>
      <c r="F6" s="17"/>
      <c r="G6" s="17"/>
      <c r="H6" s="17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1970008</v>
      </c>
      <c r="D9" s="8">
        <v>1919860</v>
      </c>
      <c r="E9" s="8">
        <v>1645327</v>
      </c>
      <c r="F9" s="8">
        <v>1628199</v>
      </c>
      <c r="G9" s="8">
        <v>1603995</v>
      </c>
      <c r="H9" s="8">
        <v>1335147</v>
      </c>
    </row>
    <row r="10" spans="1:8" ht="11.25">
      <c r="A10" s="7" t="s">
        <v>11</v>
      </c>
      <c r="B10" s="7"/>
      <c r="C10" s="8">
        <v>615823</v>
      </c>
      <c r="D10" s="8">
        <v>555955</v>
      </c>
      <c r="E10" s="8">
        <v>497930</v>
      </c>
      <c r="F10" s="8">
        <v>496265</v>
      </c>
      <c r="G10" s="8">
        <v>545388</v>
      </c>
      <c r="H10" s="8">
        <v>427812</v>
      </c>
    </row>
    <row r="11" spans="1:8" ht="11.25">
      <c r="A11" s="7" t="s">
        <v>12</v>
      </c>
      <c r="B11" s="7"/>
      <c r="C11" s="8">
        <f aca="true" t="shared" si="0" ref="C11:H11">C12+C13</f>
        <v>723259</v>
      </c>
      <c r="D11" s="8">
        <f t="shared" si="0"/>
        <v>705276</v>
      </c>
      <c r="E11" s="8">
        <f t="shared" si="0"/>
        <v>691290</v>
      </c>
      <c r="F11" s="8">
        <f t="shared" si="0"/>
        <v>672725</v>
      </c>
      <c r="G11" s="8">
        <f t="shared" si="0"/>
        <v>654472</v>
      </c>
      <c r="H11" s="8">
        <f t="shared" si="0"/>
        <v>595455</v>
      </c>
    </row>
    <row r="12" spans="1:8" ht="11.25">
      <c r="A12" s="7"/>
      <c r="B12" s="7" t="s">
        <v>13</v>
      </c>
      <c r="C12" s="8">
        <v>710805</v>
      </c>
      <c r="D12" s="8">
        <v>694515</v>
      </c>
      <c r="E12" s="8">
        <v>683366</v>
      </c>
      <c r="F12" s="8">
        <v>661249</v>
      </c>
      <c r="G12" s="8">
        <v>643558</v>
      </c>
      <c r="H12" s="8">
        <v>583292</v>
      </c>
    </row>
    <row r="13" spans="1:8" ht="11.25">
      <c r="A13" s="7"/>
      <c r="B13" s="7" t="s">
        <v>14</v>
      </c>
      <c r="C13" s="8">
        <v>12454</v>
      </c>
      <c r="D13" s="8">
        <v>10761</v>
      </c>
      <c r="E13" s="8">
        <v>7924</v>
      </c>
      <c r="F13" s="8">
        <v>11476</v>
      </c>
      <c r="G13" s="8">
        <v>10914</v>
      </c>
      <c r="H13" s="8">
        <v>12163</v>
      </c>
    </row>
    <row r="14" spans="1:8" ht="11.25">
      <c r="A14" s="7" t="s">
        <v>15</v>
      </c>
      <c r="B14" s="7"/>
      <c r="C14" s="8">
        <v>508058</v>
      </c>
      <c r="D14" s="8">
        <v>510570</v>
      </c>
      <c r="E14" s="8">
        <v>333772</v>
      </c>
      <c r="F14" s="8">
        <v>303765</v>
      </c>
      <c r="G14" s="8">
        <v>291401</v>
      </c>
      <c r="H14" s="8">
        <v>227252</v>
      </c>
    </row>
    <row r="15" spans="1:8" ht="11.25">
      <c r="A15" s="7" t="s">
        <v>16</v>
      </c>
      <c r="B15" s="7"/>
      <c r="C15" s="8">
        <f aca="true" t="shared" si="1" ref="C15:H15">C16+C20</f>
        <v>1092916</v>
      </c>
      <c r="D15" s="8">
        <f t="shared" si="1"/>
        <v>1112263</v>
      </c>
      <c r="E15" s="8">
        <f t="shared" si="1"/>
        <v>1034728</v>
      </c>
      <c r="F15" s="8">
        <f t="shared" si="1"/>
        <v>1029777</v>
      </c>
      <c r="G15" s="8">
        <f t="shared" si="1"/>
        <v>1038033</v>
      </c>
      <c r="H15" s="8">
        <f t="shared" si="1"/>
        <v>923164</v>
      </c>
    </row>
    <row r="16" spans="1:8" ht="11.25">
      <c r="A16" s="7"/>
      <c r="B16" s="7" t="s">
        <v>13</v>
      </c>
      <c r="C16" s="8">
        <f aca="true" t="shared" si="2" ref="C16:H16">SUM(C17:C19)</f>
        <v>1060316</v>
      </c>
      <c r="D16" s="8">
        <f t="shared" si="2"/>
        <v>1063190</v>
      </c>
      <c r="E16" s="8">
        <f t="shared" si="2"/>
        <v>992781</v>
      </c>
      <c r="F16" s="8">
        <f t="shared" si="2"/>
        <v>962124</v>
      </c>
      <c r="G16" s="8">
        <f t="shared" si="2"/>
        <v>969484</v>
      </c>
      <c r="H16" s="8">
        <f t="shared" si="2"/>
        <v>839038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879782</v>
      </c>
      <c r="D18" s="8">
        <v>851272</v>
      </c>
      <c r="E18" s="8">
        <v>850740</v>
      </c>
      <c r="F18" s="8">
        <v>843367</v>
      </c>
      <c r="G18" s="8">
        <v>811351</v>
      </c>
      <c r="H18" s="8">
        <v>772164</v>
      </c>
    </row>
    <row r="19" spans="1:8" ht="11.25">
      <c r="A19" s="7"/>
      <c r="B19" s="7" t="s">
        <v>19</v>
      </c>
      <c r="C19" s="8">
        <v>180534</v>
      </c>
      <c r="D19" s="8">
        <v>211918</v>
      </c>
      <c r="E19" s="8">
        <v>142041</v>
      </c>
      <c r="F19" s="8">
        <v>118757</v>
      </c>
      <c r="G19" s="8">
        <v>158133</v>
      </c>
      <c r="H19" s="8">
        <v>66874</v>
      </c>
    </row>
    <row r="20" spans="1:8" ht="11.25">
      <c r="A20" s="7"/>
      <c r="B20" s="7" t="s">
        <v>14</v>
      </c>
      <c r="C20" s="8">
        <f aca="true" t="shared" si="3" ref="C20:H20">SUM(C21:C22)</f>
        <v>32600</v>
      </c>
      <c r="D20" s="8">
        <f t="shared" si="3"/>
        <v>49073</v>
      </c>
      <c r="E20" s="8">
        <f t="shared" si="3"/>
        <v>41947</v>
      </c>
      <c r="F20" s="8">
        <f t="shared" si="3"/>
        <v>67653</v>
      </c>
      <c r="G20" s="8">
        <f t="shared" si="3"/>
        <v>68549</v>
      </c>
      <c r="H20" s="8">
        <f t="shared" si="3"/>
        <v>84126</v>
      </c>
    </row>
    <row r="21" spans="1:8" ht="11.25">
      <c r="A21" s="7"/>
      <c r="B21" s="7" t="s">
        <v>18</v>
      </c>
      <c r="C21" s="8">
        <v>15449</v>
      </c>
      <c r="D21" s="8">
        <v>22388</v>
      </c>
      <c r="E21" s="8">
        <v>13025</v>
      </c>
      <c r="F21" s="8">
        <v>13693</v>
      </c>
      <c r="G21" s="8">
        <v>15467</v>
      </c>
      <c r="H21" s="8">
        <v>12336</v>
      </c>
    </row>
    <row r="22" spans="1:8" ht="11.25">
      <c r="A22" s="7"/>
      <c r="B22" s="7" t="s">
        <v>19</v>
      </c>
      <c r="C22" s="8">
        <v>17151</v>
      </c>
      <c r="D22" s="8">
        <v>26685</v>
      </c>
      <c r="E22" s="8">
        <v>28922</v>
      </c>
      <c r="F22" s="8">
        <v>53960</v>
      </c>
      <c r="G22" s="8">
        <v>53082</v>
      </c>
      <c r="H22" s="8">
        <v>71790</v>
      </c>
    </row>
    <row r="23" spans="1:8" ht="11.25">
      <c r="A23" s="3" t="s">
        <v>20</v>
      </c>
      <c r="B23" s="3"/>
      <c r="C23" s="9">
        <v>224251</v>
      </c>
      <c r="D23" s="9">
        <v>225730</v>
      </c>
      <c r="E23" s="9">
        <v>147805</v>
      </c>
      <c r="F23" s="9">
        <v>145338</v>
      </c>
      <c r="G23" s="9">
        <v>136250</v>
      </c>
      <c r="H23" s="9">
        <v>121019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1787001.5</v>
      </c>
      <c r="D25" s="8">
        <v>1710273</v>
      </c>
      <c r="E25" s="8">
        <v>1538383</v>
      </c>
      <c r="F25" s="8">
        <v>1477696</v>
      </c>
      <c r="G25" s="8">
        <f>(G9+H9)/2</f>
        <v>1469571</v>
      </c>
      <c r="H25" s="8">
        <v>1169609</v>
      </c>
    </row>
    <row r="26" spans="1:8" ht="11.25">
      <c r="A26" s="7" t="s">
        <v>22</v>
      </c>
      <c r="B26" s="7"/>
      <c r="C26" s="8">
        <f aca="true" t="shared" si="4" ref="C26:H26">C27+C28</f>
        <v>1088595</v>
      </c>
      <c r="D26" s="8">
        <f t="shared" si="4"/>
        <v>1073153</v>
      </c>
      <c r="E26" s="8">
        <f t="shared" si="4"/>
        <v>941597</v>
      </c>
      <c r="F26" s="8">
        <f t="shared" si="4"/>
        <v>919314</v>
      </c>
      <c r="G26" s="8">
        <f t="shared" si="4"/>
        <v>884290</v>
      </c>
      <c r="H26" s="8">
        <f t="shared" si="4"/>
        <v>729352</v>
      </c>
    </row>
    <row r="27" spans="1:8" ht="11.25">
      <c r="A27" s="7"/>
      <c r="B27" s="7" t="s">
        <v>12</v>
      </c>
      <c r="C27" s="8">
        <f>+(C11+G11)/2</f>
        <v>688865.5</v>
      </c>
      <c r="D27" s="8">
        <v>671132</v>
      </c>
      <c r="E27" s="8">
        <v>663652</v>
      </c>
      <c r="F27" s="8">
        <v>652586</v>
      </c>
      <c r="G27" s="8">
        <f>(G11+H11)/2</f>
        <v>624963.5</v>
      </c>
      <c r="H27" s="8">
        <v>556087</v>
      </c>
    </row>
    <row r="28" spans="1:8" ht="11.25">
      <c r="A28" s="7"/>
      <c r="B28" s="7" t="s">
        <v>15</v>
      </c>
      <c r="C28" s="8">
        <f>+(C14+G14)/2</f>
        <v>399729.5</v>
      </c>
      <c r="D28" s="8">
        <v>402021</v>
      </c>
      <c r="E28" s="8">
        <v>277945</v>
      </c>
      <c r="F28" s="8">
        <v>266728</v>
      </c>
      <c r="G28" s="8">
        <f>(G14+H14)/2</f>
        <v>259326.5</v>
      </c>
      <c r="H28" s="8">
        <v>173265</v>
      </c>
    </row>
    <row r="29" spans="1:8" ht="11.25">
      <c r="A29" s="3" t="s">
        <v>20</v>
      </c>
      <c r="B29" s="3"/>
      <c r="C29" s="9">
        <f>+(C23+G23)/2</f>
        <v>180250.5</v>
      </c>
      <c r="D29" s="9">
        <v>171489</v>
      </c>
      <c r="E29" s="9">
        <v>131581</v>
      </c>
      <c r="F29" s="9">
        <v>132635</v>
      </c>
      <c r="G29" s="9">
        <f>(G23+H23)/2</f>
        <v>128634.5</v>
      </c>
      <c r="H29" s="9">
        <v>102597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137116</v>
      </c>
      <c r="D31" s="8">
        <v>97922</v>
      </c>
      <c r="E31" s="8">
        <v>61590</v>
      </c>
      <c r="F31" s="8">
        <v>32633</v>
      </c>
      <c r="G31" s="8">
        <v>112750</v>
      </c>
      <c r="H31" s="8">
        <v>121752</v>
      </c>
    </row>
    <row r="32" spans="1:8" ht="11.25">
      <c r="A32" s="7" t="s">
        <v>25</v>
      </c>
      <c r="B32" s="7"/>
      <c r="C32" s="8">
        <v>109940</v>
      </c>
      <c r="D32" s="8">
        <v>79127</v>
      </c>
      <c r="E32" s="8">
        <v>49737</v>
      </c>
      <c r="F32" s="8">
        <v>23995</v>
      </c>
      <c r="G32" s="8">
        <v>87294</v>
      </c>
      <c r="H32" s="8">
        <v>69690</v>
      </c>
    </row>
    <row r="33" spans="1:8" ht="11.25">
      <c r="A33" s="7" t="s">
        <v>26</v>
      </c>
      <c r="B33" s="7"/>
      <c r="C33" s="8">
        <f aca="true" t="shared" si="5" ref="C33:H33">C31-C32</f>
        <v>27176</v>
      </c>
      <c r="D33" s="8">
        <f t="shared" si="5"/>
        <v>18795</v>
      </c>
      <c r="E33" s="8">
        <f t="shared" si="5"/>
        <v>11853</v>
      </c>
      <c r="F33" s="8">
        <f t="shared" si="5"/>
        <v>8638</v>
      </c>
      <c r="G33" s="8">
        <f t="shared" si="5"/>
        <v>25456</v>
      </c>
      <c r="H33" s="8">
        <f t="shared" si="5"/>
        <v>52062</v>
      </c>
    </row>
    <row r="34" spans="1:8" ht="11.25">
      <c r="A34" s="7" t="s">
        <v>27</v>
      </c>
      <c r="B34" s="7"/>
      <c r="C34" s="8">
        <v>41968</v>
      </c>
      <c r="D34" s="8">
        <v>25866</v>
      </c>
      <c r="E34" s="8">
        <v>16762</v>
      </c>
      <c r="F34" s="8">
        <v>7940</v>
      </c>
      <c r="G34" s="8">
        <v>33063</v>
      </c>
      <c r="H34" s="8">
        <v>8434</v>
      </c>
    </row>
    <row r="35" spans="1:8" ht="11.25">
      <c r="A35" s="7" t="s">
        <v>28</v>
      </c>
      <c r="B35" s="7"/>
      <c r="C35" s="8">
        <f aca="true" t="shared" si="6" ref="C35:H35">C33+C34</f>
        <v>69144</v>
      </c>
      <c r="D35" s="8">
        <f t="shared" si="6"/>
        <v>44661</v>
      </c>
      <c r="E35" s="8">
        <f t="shared" si="6"/>
        <v>28615</v>
      </c>
      <c r="F35" s="8">
        <f t="shared" si="6"/>
        <v>16578</v>
      </c>
      <c r="G35" s="8">
        <f t="shared" si="6"/>
        <v>58519</v>
      </c>
      <c r="H35" s="8">
        <f t="shared" si="6"/>
        <v>60496</v>
      </c>
    </row>
    <row r="36" spans="1:8" ht="11.25">
      <c r="A36" s="7" t="s">
        <v>29</v>
      </c>
      <c r="B36" s="7"/>
      <c r="C36" s="8">
        <v>44581</v>
      </c>
      <c r="D36" s="8">
        <v>27924</v>
      </c>
      <c r="E36" s="8">
        <v>19464</v>
      </c>
      <c r="F36" s="8">
        <v>10592</v>
      </c>
      <c r="G36" s="8">
        <v>41351</v>
      </c>
      <c r="H36" s="8">
        <v>33651</v>
      </c>
    </row>
    <row r="37" spans="1:8" ht="11.25">
      <c r="A37" s="7" t="s">
        <v>30</v>
      </c>
      <c r="B37" s="7"/>
      <c r="C37" s="8">
        <f aca="true" t="shared" si="7" ref="C37:H37">C35-C36</f>
        <v>24563</v>
      </c>
      <c r="D37" s="8">
        <f t="shared" si="7"/>
        <v>16737</v>
      </c>
      <c r="E37" s="8">
        <f t="shared" si="7"/>
        <v>9151</v>
      </c>
      <c r="F37" s="8">
        <f t="shared" si="7"/>
        <v>5986</v>
      </c>
      <c r="G37" s="8">
        <f t="shared" si="7"/>
        <v>17168</v>
      </c>
      <c r="H37" s="8">
        <f t="shared" si="7"/>
        <v>26845</v>
      </c>
    </row>
    <row r="38" spans="1:8" ht="11.25">
      <c r="A38" s="3" t="s">
        <v>31</v>
      </c>
      <c r="B38" s="3"/>
      <c r="C38" s="9">
        <v>20313</v>
      </c>
      <c r="D38" s="9">
        <v>14787</v>
      </c>
      <c r="E38" s="9">
        <v>8151</v>
      </c>
      <c r="F38" s="9">
        <v>5686</v>
      </c>
      <c r="G38" s="9">
        <v>14318</v>
      </c>
      <c r="H38" s="9">
        <v>17295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1002</v>
      </c>
      <c r="D40" s="8">
        <v>1708</v>
      </c>
      <c r="E40" s="8">
        <v>865</v>
      </c>
      <c r="F40" s="8">
        <v>739</v>
      </c>
      <c r="G40" s="8">
        <v>623</v>
      </c>
      <c r="H40" s="8">
        <v>1022</v>
      </c>
    </row>
    <row r="41" spans="1:8" ht="11.25">
      <c r="A41" s="7" t="s">
        <v>34</v>
      </c>
      <c r="B41" s="7"/>
      <c r="C41" s="8">
        <v>12735</v>
      </c>
      <c r="D41" s="8">
        <v>11913</v>
      </c>
      <c r="E41" s="8">
        <v>10883</v>
      </c>
      <c r="F41" s="8">
        <v>11165</v>
      </c>
      <c r="G41" s="8">
        <v>11128</v>
      </c>
      <c r="H41" s="8">
        <v>9657</v>
      </c>
    </row>
    <row r="42" spans="1:8" ht="11.25">
      <c r="A42" s="7" t="s">
        <v>35</v>
      </c>
      <c r="B42" s="7"/>
      <c r="C42" s="10">
        <f aca="true" t="shared" si="8" ref="C42:H42">C40/C11</f>
        <v>0.0013853958263913757</v>
      </c>
      <c r="D42" s="10">
        <f t="shared" si="8"/>
        <v>0.0024217469472943925</v>
      </c>
      <c r="E42" s="10">
        <f t="shared" si="8"/>
        <v>0.0012512838316770095</v>
      </c>
      <c r="F42" s="10">
        <f t="shared" si="8"/>
        <v>0.0010985172247203537</v>
      </c>
      <c r="G42" s="10">
        <f t="shared" si="8"/>
        <v>0.0009519123812783435</v>
      </c>
      <c r="H42" s="10">
        <f t="shared" si="8"/>
        <v>0.0017163345676835362</v>
      </c>
    </row>
    <row r="43" spans="1:8" ht="11.25">
      <c r="A43" s="7" t="s">
        <v>36</v>
      </c>
      <c r="B43" s="7"/>
      <c r="C43" s="10">
        <f aca="true" t="shared" si="9" ref="C43:H43">C41/C11</f>
        <v>0.017607800248596976</v>
      </c>
      <c r="D43" s="10">
        <f t="shared" si="9"/>
        <v>0.01689125959198952</v>
      </c>
      <c r="E43" s="10">
        <f t="shared" si="9"/>
        <v>0.015743031144671557</v>
      </c>
      <c r="F43" s="10">
        <f t="shared" si="9"/>
        <v>0.016596677691478687</v>
      </c>
      <c r="G43" s="10">
        <f t="shared" si="9"/>
        <v>0.017003019227713332</v>
      </c>
      <c r="H43" s="10">
        <f t="shared" si="9"/>
        <v>0.016217850215381514</v>
      </c>
    </row>
    <row r="44" spans="1:8" ht="11.25">
      <c r="A44" s="11" t="s">
        <v>37</v>
      </c>
      <c r="B44" s="7"/>
      <c r="C44" s="10">
        <f aca="true" t="shared" si="10" ref="C44:H44">(C40+C41)/C11</f>
        <v>0.018993196074988353</v>
      </c>
      <c r="D44" s="10">
        <f t="shared" si="10"/>
        <v>0.01931300653928391</v>
      </c>
      <c r="E44" s="10">
        <f t="shared" si="10"/>
        <v>0.016994314976348564</v>
      </c>
      <c r="F44" s="10">
        <f t="shared" si="10"/>
        <v>0.01769519491619904</v>
      </c>
      <c r="G44" s="10">
        <f t="shared" si="10"/>
        <v>0.017954931608991677</v>
      </c>
      <c r="H44" s="10">
        <f t="shared" si="10"/>
        <v>0.017934184783065053</v>
      </c>
    </row>
    <row r="45" spans="1:8" ht="11.25">
      <c r="A45" s="7" t="s">
        <v>38</v>
      </c>
      <c r="B45" s="7"/>
      <c r="C45" s="10">
        <v>0.0168</v>
      </c>
      <c r="D45" s="10">
        <v>0.0141</v>
      </c>
      <c r="E45" s="10">
        <v>0.0142</v>
      </c>
      <c r="F45" s="10">
        <v>0.0153</v>
      </c>
      <c r="G45" s="10">
        <v>0.0179</v>
      </c>
      <c r="H45" s="10">
        <v>0.019</v>
      </c>
    </row>
    <row r="46" spans="1:8" ht="11.25">
      <c r="A46" s="3" t="s">
        <v>39</v>
      </c>
      <c r="B46" s="3"/>
      <c r="C46" s="12">
        <v>0.8866</v>
      </c>
      <c r="D46" s="12">
        <v>0.73</v>
      </c>
      <c r="E46" s="12">
        <v>0.8342</v>
      </c>
      <c r="F46" s="12">
        <v>0.8664</v>
      </c>
      <c r="G46" s="12">
        <v>0.9957</v>
      </c>
      <c r="H46" s="12">
        <v>1.0616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0.1821228814350813</v>
      </c>
      <c r="D48" s="10">
        <f t="shared" si="11"/>
        <v>0.185656736132701</v>
      </c>
      <c r="E48" s="10">
        <f t="shared" si="11"/>
        <v>0.14419127818609997</v>
      </c>
      <c r="F48" s="10">
        <f t="shared" si="11"/>
        <v>0.14883716167088246</v>
      </c>
      <c r="G48" s="10">
        <f t="shared" si="11"/>
        <v>0.1440468223535295</v>
      </c>
      <c r="H48" s="10">
        <f t="shared" si="11"/>
        <v>0.14709854176517279</v>
      </c>
    </row>
    <row r="49" spans="1:8" ht="11.25">
      <c r="A49" s="3" t="s">
        <v>42</v>
      </c>
      <c r="B49" s="3"/>
      <c r="C49" s="12">
        <f aca="true" t="shared" si="12" ref="C49:H49">C23/C11</f>
        <v>0.3100562868903118</v>
      </c>
      <c r="D49" s="12">
        <f t="shared" si="12"/>
        <v>0.3200590974313602</v>
      </c>
      <c r="E49" s="12">
        <f t="shared" si="12"/>
        <v>0.21381041241736465</v>
      </c>
      <c r="F49" s="12">
        <f t="shared" si="12"/>
        <v>0.21604370285034746</v>
      </c>
      <c r="G49" s="12">
        <f t="shared" si="12"/>
        <v>0.20818308499064894</v>
      </c>
      <c r="H49" s="12">
        <f t="shared" si="12"/>
        <v>0.2032378601237709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0.5634678236936782</v>
      </c>
      <c r="D51" s="13">
        <f t="shared" si="13"/>
        <v>0.49984131450924824</v>
      </c>
      <c r="E51" s="13">
        <f t="shared" si="13"/>
        <v>0.48121825252626776</v>
      </c>
      <c r="F51" s="13">
        <f t="shared" si="13"/>
        <v>0.4819150165521273</v>
      </c>
      <c r="G51" s="13">
        <f t="shared" si="13"/>
        <v>0.5254052616824321</v>
      </c>
      <c r="H51" s="13">
        <f t="shared" si="13"/>
        <v>0.4634192841141986</v>
      </c>
    </row>
    <row r="52" spans="1:8" ht="11.25">
      <c r="A52" s="7" t="s">
        <v>45</v>
      </c>
      <c r="B52" s="7"/>
      <c r="C52" s="13">
        <f aca="true" t="shared" si="14" ref="C52:H52">C10/C9</f>
        <v>0.3125992381756825</v>
      </c>
      <c r="D52" s="13">
        <f t="shared" si="14"/>
        <v>0.2895810111153938</v>
      </c>
      <c r="E52" s="13">
        <f t="shared" si="14"/>
        <v>0.30263285049111815</v>
      </c>
      <c r="F52" s="13">
        <f t="shared" si="14"/>
        <v>0.3047938243421105</v>
      </c>
      <c r="G52" s="13">
        <f t="shared" si="14"/>
        <v>0.34001851626719537</v>
      </c>
      <c r="H52" s="13">
        <f t="shared" si="14"/>
        <v>0.32042314441780567</v>
      </c>
    </row>
    <row r="53" spans="1:8" ht="11.25">
      <c r="A53" s="3" t="s">
        <v>46</v>
      </c>
      <c r="B53" s="3"/>
      <c r="C53" s="14">
        <f aca="true" t="shared" si="15" ref="C53:H53">(C10+C14)/C15</f>
        <v>1.0283324610491567</v>
      </c>
      <c r="D53" s="14">
        <f t="shared" si="15"/>
        <v>0.9588784307308613</v>
      </c>
      <c r="E53" s="14">
        <f t="shared" si="15"/>
        <v>0.8037880486466008</v>
      </c>
      <c r="F53" s="14">
        <f t="shared" si="15"/>
        <v>0.7768963571724752</v>
      </c>
      <c r="G53" s="14">
        <f t="shared" si="15"/>
        <v>0.8061294775792291</v>
      </c>
      <c r="H53" s="14">
        <f t="shared" si="15"/>
        <v>0.7095857290795569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0.018659832168988467</v>
      </c>
      <c r="D55" s="10">
        <f>((D38)/0.75)/D26</f>
        <v>0.018372030828782103</v>
      </c>
      <c r="E55" s="10">
        <f>((E38)/0.5)/E26</f>
        <v>0.017313139272958602</v>
      </c>
      <c r="F55" s="10">
        <f>((F38)/0.25)/F26</f>
        <v>0.02474018670443396</v>
      </c>
      <c r="G55" s="10">
        <f>G38/G26</f>
        <v>0.016191520881158897</v>
      </c>
      <c r="H55" s="10">
        <f>H38/H26</f>
        <v>0.02371283001897575</v>
      </c>
    </row>
    <row r="56" spans="1:8" ht="11.25">
      <c r="A56" s="7" t="s">
        <v>49</v>
      </c>
      <c r="B56" s="7"/>
      <c r="C56" s="10">
        <f>(C38)/C25</f>
        <v>0.011367086149619909</v>
      </c>
      <c r="D56" s="10">
        <f>((D38)/0.75)/D25</f>
        <v>0.011527984128849604</v>
      </c>
      <c r="E56" s="10">
        <f>((E38)/0.5)/E25</f>
        <v>0.010596840968731454</v>
      </c>
      <c r="F56" s="10">
        <f>((F38)/0.25)/F25</f>
        <v>0.01539152843345316</v>
      </c>
      <c r="G56" s="10">
        <f>G38/G25</f>
        <v>0.009742979413720059</v>
      </c>
      <c r="H56" s="10">
        <f>H38/H25</f>
        <v>0.01478699291814615</v>
      </c>
    </row>
    <row r="57" spans="1:8" ht="11.25">
      <c r="A57" s="7" t="s">
        <v>50</v>
      </c>
      <c r="B57" s="7"/>
      <c r="C57" s="10">
        <f>(C38)/C29</f>
        <v>0.11269316867359591</v>
      </c>
      <c r="D57" s="10">
        <f>((D38)/0.75)/D29</f>
        <v>0.11496947326067561</v>
      </c>
      <c r="E57" s="10">
        <f>((E38)/0.5)/E29</f>
        <v>0.12389326726503067</v>
      </c>
      <c r="F57" s="10">
        <f>((F38)/0.25)/F29</f>
        <v>0.17147811663588042</v>
      </c>
      <c r="G57" s="10">
        <f>G38/G29</f>
        <v>0.11130761965102674</v>
      </c>
      <c r="H57" s="10">
        <f>H38/H29</f>
        <v>0.16857218047311326</v>
      </c>
    </row>
    <row r="58" spans="1:8" ht="11.25">
      <c r="A58" s="7" t="s">
        <v>51</v>
      </c>
      <c r="B58" s="7"/>
      <c r="C58" s="10">
        <f>(C31)/C25</f>
        <v>0.07672965019895059</v>
      </c>
      <c r="D58" s="10">
        <f>((D31)/0.75)/D25</f>
        <v>0.07634024899338683</v>
      </c>
      <c r="E58" s="10">
        <f>((E31)/0.5)/E25</f>
        <v>0.08007108762902346</v>
      </c>
      <c r="F58" s="10">
        <f>((F31)/0.25)/F25</f>
        <v>0.0883348131144701</v>
      </c>
      <c r="G58" s="10">
        <f>G31/G25</f>
        <v>0.07672307088259091</v>
      </c>
      <c r="H58" s="10">
        <f>H31/H25</f>
        <v>0.10409632620816016</v>
      </c>
    </row>
    <row r="59" spans="1:8" ht="11.25">
      <c r="A59" s="7" t="s">
        <v>52</v>
      </c>
      <c r="B59" s="7"/>
      <c r="C59" s="10">
        <f>(C32)/C25</f>
        <v>0.061522052443716474</v>
      </c>
      <c r="D59" s="10">
        <f>((D32)/0.75)/D25</f>
        <v>0.061687617512915585</v>
      </c>
      <c r="E59" s="10">
        <f>((E32)/0.5)/E25</f>
        <v>0.06466140096451924</v>
      </c>
      <c r="F59" s="10">
        <f>((F32)/0.25)/F25</f>
        <v>0.06495246654250943</v>
      </c>
      <c r="G59" s="10">
        <f>G32/G25</f>
        <v>0.059401008865852686</v>
      </c>
      <c r="H59" s="10">
        <f>H32/H25</f>
        <v>0.05958401482888726</v>
      </c>
    </row>
    <row r="60" spans="1:8" ht="11.25">
      <c r="A60" s="7" t="s">
        <v>53</v>
      </c>
      <c r="B60" s="7"/>
      <c r="C60" s="10">
        <f>(C33)/C25</f>
        <v>0.015207597755234116</v>
      </c>
      <c r="D60" s="10">
        <f>((D33)/0.75)/D25</f>
        <v>0.014652631480471247</v>
      </c>
      <c r="E60" s="10">
        <f>((E33)/0.5)/E25</f>
        <v>0.015409686664504223</v>
      </c>
      <c r="F60" s="10">
        <f>((F33)/0.25)/F25</f>
        <v>0.023382346571960675</v>
      </c>
      <c r="G60" s="10">
        <f>G33/G25</f>
        <v>0.017322062016738218</v>
      </c>
      <c r="H60" s="10">
        <f>H33/H25</f>
        <v>0.044512311379272904</v>
      </c>
    </row>
    <row r="61" spans="1:8" ht="11.25">
      <c r="A61" s="7" t="s">
        <v>54</v>
      </c>
      <c r="B61" s="7"/>
      <c r="C61" s="10">
        <f>(C36)/(C35)</f>
        <v>0.6447558718037718</v>
      </c>
      <c r="D61" s="10">
        <f>((D36)/0.75)/((D35)/0.75)</f>
        <v>0.6252435010411769</v>
      </c>
      <c r="E61" s="10">
        <f>((E36)/0.5)/((E35)/0.5)</f>
        <v>0.680202690896383</v>
      </c>
      <c r="F61" s="10">
        <f>(F36/0.25)/(F35/0.25)</f>
        <v>0.6389190493425021</v>
      </c>
      <c r="G61" s="10">
        <f>G36/G35</f>
        <v>0.7066251986534288</v>
      </c>
      <c r="H61" s="10">
        <f>H36/H35</f>
        <v>0.5562516530018513</v>
      </c>
    </row>
    <row r="62" spans="1:8" ht="11.25">
      <c r="A62" s="3" t="s">
        <v>55</v>
      </c>
      <c r="B62" s="3"/>
      <c r="C62" s="12">
        <f>(C34)/C25</f>
        <v>0.023485150963779268</v>
      </c>
      <c r="D62" s="12">
        <f>((D34)/0.75)/D25</f>
        <v>0.020165201695869606</v>
      </c>
      <c r="E62" s="12">
        <f>((E34)/0.5)/E25</f>
        <v>0.021791712466921437</v>
      </c>
      <c r="F62" s="12">
        <f>(F34/0.255)/F25</f>
        <v>0.021071488927330646</v>
      </c>
      <c r="G62" s="12">
        <f>G34/G25</f>
        <v>0.022498402595043043</v>
      </c>
      <c r="H62" s="12">
        <f>H34/H25</f>
        <v>0.007210956824032647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945</v>
      </c>
      <c r="D64" s="8">
        <v>944</v>
      </c>
      <c r="E64" s="8">
        <v>936</v>
      </c>
      <c r="F64" s="8">
        <v>952</v>
      </c>
      <c r="G64" s="8">
        <v>1004</v>
      </c>
      <c r="H64" s="8">
        <v>891</v>
      </c>
    </row>
    <row r="65" spans="1:8" ht="11.25">
      <c r="A65" s="7" t="s">
        <v>58</v>
      </c>
      <c r="B65" s="7"/>
      <c r="C65" s="8">
        <v>29</v>
      </c>
      <c r="D65" s="8">
        <v>29</v>
      </c>
      <c r="E65" s="8">
        <v>27</v>
      </c>
      <c r="F65" s="8">
        <v>29</v>
      </c>
      <c r="G65" s="8">
        <v>29</v>
      </c>
      <c r="H65" s="8">
        <v>27</v>
      </c>
    </row>
    <row r="66" spans="1:8" ht="11.25">
      <c r="A66" s="7" t="s">
        <v>59</v>
      </c>
      <c r="B66" s="7"/>
      <c r="C66" s="8">
        <f aca="true" t="shared" si="16" ref="C66:H66">C11/C64</f>
        <v>765.3534391534391</v>
      </c>
      <c r="D66" s="8">
        <f t="shared" si="16"/>
        <v>747.1144067796611</v>
      </c>
      <c r="E66" s="8">
        <f t="shared" si="16"/>
        <v>738.5576923076923</v>
      </c>
      <c r="F66" s="8">
        <f t="shared" si="16"/>
        <v>706.6439075630252</v>
      </c>
      <c r="G66" s="8">
        <f t="shared" si="16"/>
        <v>651.8645418326694</v>
      </c>
      <c r="H66" s="8">
        <f t="shared" si="16"/>
        <v>668.2996632996633</v>
      </c>
    </row>
    <row r="67" spans="1:8" ht="11.25">
      <c r="A67" s="7" t="s">
        <v>60</v>
      </c>
      <c r="B67" s="7"/>
      <c r="C67" s="8">
        <f aca="true" t="shared" si="17" ref="C67:H67">C15/C64</f>
        <v>1156.5248677248678</v>
      </c>
      <c r="D67" s="8">
        <f t="shared" si="17"/>
        <v>1178.2447033898304</v>
      </c>
      <c r="E67" s="8">
        <f t="shared" si="17"/>
        <v>1105.4786324786326</v>
      </c>
      <c r="F67" s="8">
        <f t="shared" si="17"/>
        <v>1081.6985294117646</v>
      </c>
      <c r="G67" s="8">
        <f t="shared" si="17"/>
        <v>1033.8974103585658</v>
      </c>
      <c r="H67" s="8">
        <f t="shared" si="17"/>
        <v>1036.0987654320988</v>
      </c>
    </row>
    <row r="68" spans="1:8" ht="11.25">
      <c r="A68" s="3" t="s">
        <v>61</v>
      </c>
      <c r="B68" s="3"/>
      <c r="C68" s="9">
        <f aca="true" t="shared" si="18" ref="C68:H68">C38/C64</f>
        <v>21.495238095238093</v>
      </c>
      <c r="D68" s="9">
        <f t="shared" si="18"/>
        <v>15.664194915254237</v>
      </c>
      <c r="E68" s="9">
        <f t="shared" si="18"/>
        <v>8.708333333333334</v>
      </c>
      <c r="F68" s="9">
        <f t="shared" si="18"/>
        <v>5.972689075630252</v>
      </c>
      <c r="G68" s="9">
        <f t="shared" si="18"/>
        <v>14.260956175298805</v>
      </c>
      <c r="H68" s="9">
        <f t="shared" si="18"/>
        <v>19.410774410774412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0.2281883671707206</v>
      </c>
      <c r="D70" s="10">
        <f>(D9-1500686)/1500686</f>
        <v>0.279321590259388</v>
      </c>
      <c r="E70" s="10">
        <f>(E9-1431439)/1431439</f>
        <v>0.1494216658900589</v>
      </c>
      <c r="F70" s="10">
        <f>(F9-1327194)/1327194</f>
        <v>0.22679804158246647</v>
      </c>
      <c r="G70" s="10">
        <f>(G9-H9)/H9</f>
        <v>0.2013620972072738</v>
      </c>
      <c r="H70" s="10">
        <f>(H9-1004074)/1004074</f>
        <v>0.3297296812784715</v>
      </c>
    </row>
    <row r="71" spans="1:8" ht="11.25">
      <c r="A71" s="7" t="s">
        <v>64</v>
      </c>
      <c r="B71" s="7"/>
      <c r="C71" s="10">
        <f>C11/G11-1</f>
        <v>0.10510304489726074</v>
      </c>
      <c r="D71" s="10">
        <f>D11/636989-1</f>
        <v>0.10720279314085479</v>
      </c>
      <c r="E71" s="10">
        <f>E11/636015-1</f>
        <v>0.08690832763378231</v>
      </c>
      <c r="F71" s="10">
        <f>F11/632447-1</f>
        <v>0.06368596894285217</v>
      </c>
      <c r="G71" s="10">
        <f>G11/H11-1</f>
        <v>0.09911244342561565</v>
      </c>
      <c r="H71" s="10">
        <f>H11/516720-1</f>
        <v>0.1523745935903391</v>
      </c>
    </row>
    <row r="72" spans="1:8" ht="11.25">
      <c r="A72" s="7"/>
      <c r="B72" s="7" t="s">
        <v>13</v>
      </c>
      <c r="C72" s="10">
        <f>(C12-G12)/G12</f>
        <v>0.10449252437231765</v>
      </c>
      <c r="D72" s="10">
        <f>(D12-625518)/625518</f>
        <v>0.11030378022694791</v>
      </c>
      <c r="E72" s="10">
        <f>(E12-625247)/625247</f>
        <v>0.09295366471170594</v>
      </c>
      <c r="F72" s="10">
        <f>(F12-621564)/621564</f>
        <v>0.06384700529631704</v>
      </c>
      <c r="G72" s="10">
        <f>(G12-H12)/H12</f>
        <v>0.10332046385000994</v>
      </c>
      <c r="H72" s="10">
        <f>(H12-510225)/510225</f>
        <v>0.14320544857660836</v>
      </c>
    </row>
    <row r="73" spans="1:8" ht="11.25">
      <c r="A73" s="7"/>
      <c r="B73" s="7" t="s">
        <v>14</v>
      </c>
      <c r="C73" s="10">
        <f>(C13-G13)/G13</f>
        <v>0.14110317024005864</v>
      </c>
      <c r="D73" s="10">
        <f>(D13-11471)/11471</f>
        <v>-0.061895214017958326</v>
      </c>
      <c r="E73" s="10">
        <f>(E13-10767)/10767</f>
        <v>-0.26404755270734653</v>
      </c>
      <c r="F73" s="10">
        <f>(F13-10884)/10884</f>
        <v>0.0543917677324513</v>
      </c>
      <c r="G73" s="10">
        <f>(G13-H13)/H13</f>
        <v>-0.10268848146016608</v>
      </c>
      <c r="H73" s="10">
        <f>(H13-6495)/6495</f>
        <v>0.872671285604311</v>
      </c>
    </row>
    <row r="74" spans="1:8" ht="11.25">
      <c r="A74" s="7" t="s">
        <v>65</v>
      </c>
      <c r="B74" s="7"/>
      <c r="C74" s="10">
        <f>C15/G15-1</f>
        <v>0.05287211485569343</v>
      </c>
      <c r="D74" s="10">
        <f>D15/1037392-1</f>
        <v>0.07217233215602192</v>
      </c>
      <c r="E74" s="10">
        <f>E15/1001411-1</f>
        <v>0.033270055951053035</v>
      </c>
      <c r="F74" s="10">
        <f>F15/926255-1</f>
        <v>0.1117640390605179</v>
      </c>
      <c r="G74" s="10">
        <f>G15/H15-1</f>
        <v>0.12442967880029987</v>
      </c>
      <c r="H74" s="10">
        <f>H15/827951-1</f>
        <v>0.11499835135171033</v>
      </c>
    </row>
    <row r="75" spans="1:8" ht="11.25">
      <c r="A75" s="7"/>
      <c r="B75" s="7" t="s">
        <v>13</v>
      </c>
      <c r="C75" s="10">
        <f>(C16-G16)/G16</f>
        <v>0.09369107690276476</v>
      </c>
      <c r="D75" s="10">
        <f>(D16-940411)/940411</f>
        <v>0.13055887266312283</v>
      </c>
      <c r="E75" s="10">
        <f>(E16-899626)/899626</f>
        <v>0.10354858574563207</v>
      </c>
      <c r="F75" s="10">
        <f>(F16-818427)/818427</f>
        <v>0.17557705207672766</v>
      </c>
      <c r="G75" s="10">
        <f>(G16-H16)/H16</f>
        <v>0.1554709083498006</v>
      </c>
      <c r="H75" s="10">
        <f>(H16-659100)/659100</f>
        <v>0.2730056137156729</v>
      </c>
    </row>
    <row r="76" spans="1:8" ht="11.25">
      <c r="A76" s="7"/>
      <c r="B76" s="7" t="s">
        <v>14</v>
      </c>
      <c r="C76" s="10">
        <f>(C20-G20)/G20</f>
        <v>-0.5244277815868941</v>
      </c>
      <c r="D76" s="10">
        <f>(D20-96981)/96981</f>
        <v>-0.49399366886297313</v>
      </c>
      <c r="E76" s="10">
        <f>(E20-101784)/101784</f>
        <v>-0.5878821818753439</v>
      </c>
      <c r="F76" s="10">
        <f>(F20-107828)/107828</f>
        <v>-0.3725841154431131</v>
      </c>
      <c r="G76" s="10">
        <f>(G20-H20)/H20</f>
        <v>-0.1851627320923377</v>
      </c>
      <c r="H76" s="10">
        <f>(H20-168852)/168852</f>
        <v>-0.5017767038590008</v>
      </c>
    </row>
    <row r="77" spans="1:8" ht="11.25">
      <c r="A77" s="7" t="s">
        <v>66</v>
      </c>
      <c r="B77" s="7"/>
      <c r="C77" s="10">
        <f>(C23-G23)/G23</f>
        <v>0.6458788990825688</v>
      </c>
      <c r="D77" s="10">
        <f>(D23-117248)/117248</f>
        <v>0.9252353984716157</v>
      </c>
      <c r="E77" s="10">
        <f>(E23-115358)/115358</f>
        <v>0.28127221345723746</v>
      </c>
      <c r="F77" s="10">
        <f>(F23-119934)/119934</f>
        <v>0.21181649907449096</v>
      </c>
      <c r="G77" s="10">
        <f>(G23-H23)/H23</f>
        <v>0.12585627050297887</v>
      </c>
      <c r="H77" s="10">
        <f>(H23-84176)/84176</f>
        <v>0.4376900779319521</v>
      </c>
    </row>
    <row r="78" spans="1:8" ht="11.25">
      <c r="A78" s="3" t="s">
        <v>67</v>
      </c>
      <c r="B78" s="3"/>
      <c r="C78" s="12">
        <f>C38/G38-1</f>
        <v>0.4187037295711691</v>
      </c>
      <c r="D78" s="12">
        <f>D38/7926-1</f>
        <v>0.8656320968962907</v>
      </c>
      <c r="E78" s="12">
        <f>E38/7175-1</f>
        <v>0.13602787456445986</v>
      </c>
      <c r="F78" s="12">
        <f>F38/5698-1</f>
        <v>-0.0021060021060020917</v>
      </c>
      <c r="G78" s="12">
        <f>G38/H38-1</f>
        <v>-0.17213067360508816</v>
      </c>
      <c r="H78" s="12">
        <f>(H38-15448)/15448</f>
        <v>0.11956240290005178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2002-05-02T16:10:53Z</cp:lastPrinted>
  <dcterms:created xsi:type="dcterms:W3CDTF">2002-03-08T15:18:15Z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