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colat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<sst xmlns="http://schemas.openxmlformats.org/spreadsheetml/2006/main" count="80" uniqueCount="68">
  <si>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18-14     BANCO DE LATINOAMERICA,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</si>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</sst>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11.421875" defaultRowHeight="12.75"/>
  <cols>
    <col min="1" max="1" width="2.8515625" style="1" customWidth="1"/>
    <col min="2" max="2" width="35.421875" style="1" customWidth="1"/>
    <col min="3" max="3" width="11.00390625" style="1" customWidth="1"/>
    <col min="4" max="6" width="9.8515625" style="1" customWidth="1"/>
    <col min="7" max="7" width="11.28125" style="1" customWidth="1"/>
    <col min="8" max="8" width="11.57421875" style="1" customWidth="1"/>
    <col min="9" max="16384" width="9.851562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422064</v>
      </c>
      <c r="D9" s="8">
        <v>396685</v>
      </c>
      <c r="E9" s="8">
        <v>411434</v>
      </c>
      <c r="F9" s="8">
        <v>408201</v>
      </c>
      <c r="G9" s="8">
        <v>416266</v>
      </c>
      <c r="H9" s="8">
        <v>338936</v>
      </c>
    </row>
    <row r="10" spans="1:8" ht="11.25">
      <c r="A10" s="7" t="s">
        <v>11</v>
      </c>
      <c r="B10" s="7"/>
      <c r="C10" s="8">
        <v>87461</v>
      </c>
      <c r="D10" s="8">
        <v>60488</v>
      </c>
      <c r="E10" s="8">
        <v>77571</v>
      </c>
      <c r="F10" s="8">
        <v>81157</v>
      </c>
      <c r="G10" s="8">
        <v>103246</v>
      </c>
      <c r="H10" s="8">
        <v>58828</v>
      </c>
    </row>
    <row r="11" spans="1:8" ht="11.25">
      <c r="A11" s="7" t="s">
        <v>12</v>
      </c>
      <c r="B11" s="7"/>
      <c r="C11" s="8">
        <f aca="true" t="shared" si="0" ref="C11:H11">C12+C13</f>
        <v>249465</v>
      </c>
      <c r="D11" s="8">
        <f t="shared" si="0"/>
        <v>249186</v>
      </c>
      <c r="E11" s="8">
        <f t="shared" si="0"/>
        <v>242441</v>
      </c>
      <c r="F11" s="8">
        <f t="shared" si="0"/>
        <v>237475</v>
      </c>
      <c r="G11" s="8">
        <f t="shared" si="0"/>
        <v>238495</v>
      </c>
      <c r="H11" s="8">
        <f t="shared" si="0"/>
        <v>225210</v>
      </c>
    </row>
    <row r="12" spans="1:8" ht="11.25">
      <c r="A12" s="7"/>
      <c r="B12" s="7" t="s">
        <v>13</v>
      </c>
      <c r="C12" s="8">
        <v>248272</v>
      </c>
      <c r="D12" s="8">
        <v>246332</v>
      </c>
      <c r="E12" s="8">
        <v>239340</v>
      </c>
      <c r="F12" s="8">
        <v>234636</v>
      </c>
      <c r="G12" s="8">
        <v>235504</v>
      </c>
      <c r="H12" s="8">
        <v>219728</v>
      </c>
    </row>
    <row r="13" spans="1:8" ht="11.25">
      <c r="A13" s="7"/>
      <c r="B13" s="7" t="s">
        <v>14</v>
      </c>
      <c r="C13" s="8">
        <v>1193</v>
      </c>
      <c r="D13" s="8">
        <v>2854</v>
      </c>
      <c r="E13" s="8">
        <v>3101</v>
      </c>
      <c r="F13" s="8">
        <v>2839</v>
      </c>
      <c r="G13" s="8">
        <v>2991</v>
      </c>
      <c r="H13" s="8">
        <v>5482</v>
      </c>
    </row>
    <row r="14" spans="1:8" ht="11.25">
      <c r="A14" s="7" t="s">
        <v>15</v>
      </c>
      <c r="B14" s="7"/>
      <c r="C14" s="8">
        <v>70896</v>
      </c>
      <c r="D14" s="8">
        <v>73109</v>
      </c>
      <c r="E14" s="8">
        <v>78571</v>
      </c>
      <c r="F14" s="8">
        <v>77696</v>
      </c>
      <c r="G14" s="8">
        <v>62866</v>
      </c>
      <c r="H14" s="8">
        <v>46471</v>
      </c>
    </row>
    <row r="15" spans="1:8" ht="11.25">
      <c r="A15" s="7" t="s">
        <v>16</v>
      </c>
      <c r="B15" s="7"/>
      <c r="C15" s="8">
        <f aca="true" t="shared" si="1" ref="C15:H15">C16+C20</f>
        <v>293204</v>
      </c>
      <c r="D15" s="8">
        <f t="shared" si="1"/>
        <v>277774</v>
      </c>
      <c r="E15" s="8">
        <f t="shared" si="1"/>
        <v>281578</v>
      </c>
      <c r="F15" s="8">
        <f t="shared" si="1"/>
        <v>278594</v>
      </c>
      <c r="G15" s="8">
        <f t="shared" si="1"/>
        <v>277180</v>
      </c>
      <c r="H15" s="8">
        <f t="shared" si="1"/>
        <v>234737</v>
      </c>
    </row>
    <row r="16" spans="1:8" ht="11.25">
      <c r="A16" s="7"/>
      <c r="B16" s="7" t="s">
        <v>13</v>
      </c>
      <c r="C16" s="8">
        <f aca="true" t="shared" si="2" ref="C16:H16">SUM(C17:C19)</f>
        <v>275148</v>
      </c>
      <c r="D16" s="8">
        <f t="shared" si="2"/>
        <v>259035</v>
      </c>
      <c r="E16" s="8">
        <f t="shared" si="2"/>
        <v>257647</v>
      </c>
      <c r="F16" s="8">
        <f t="shared" si="2"/>
        <v>253669</v>
      </c>
      <c r="G16" s="8">
        <f t="shared" si="2"/>
        <v>261775</v>
      </c>
      <c r="H16" s="8">
        <f t="shared" si="2"/>
        <v>219950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255355</v>
      </c>
      <c r="D18" s="8">
        <v>254873</v>
      </c>
      <c r="E18" s="8">
        <v>250517</v>
      </c>
      <c r="F18" s="8">
        <v>249298</v>
      </c>
      <c r="G18" s="8">
        <v>244175</v>
      </c>
      <c r="H18" s="8">
        <v>210588</v>
      </c>
    </row>
    <row r="19" spans="1:8" ht="11.25">
      <c r="A19" s="7"/>
      <c r="B19" s="7" t="s">
        <v>19</v>
      </c>
      <c r="C19" s="8">
        <v>19793</v>
      </c>
      <c r="D19" s="8">
        <v>4162</v>
      </c>
      <c r="E19" s="8">
        <v>7130</v>
      </c>
      <c r="F19" s="8">
        <v>4371</v>
      </c>
      <c r="G19" s="8">
        <v>17600</v>
      </c>
      <c r="H19" s="8">
        <v>9362</v>
      </c>
    </row>
    <row r="20" spans="1:8" ht="11.25">
      <c r="A20" s="7"/>
      <c r="B20" s="7" t="s">
        <v>14</v>
      </c>
      <c r="C20" s="8">
        <f aca="true" t="shared" si="3" ref="C20:H20">SUM(C21:C22)</f>
        <v>18056</v>
      </c>
      <c r="D20" s="8">
        <f t="shared" si="3"/>
        <v>18739</v>
      </c>
      <c r="E20" s="8">
        <f t="shared" si="3"/>
        <v>23931</v>
      </c>
      <c r="F20" s="8">
        <f t="shared" si="3"/>
        <v>24925</v>
      </c>
      <c r="G20" s="8">
        <f t="shared" si="3"/>
        <v>15405</v>
      </c>
      <c r="H20" s="8">
        <f t="shared" si="3"/>
        <v>14787</v>
      </c>
    </row>
    <row r="21" spans="1:8" ht="11.25">
      <c r="A21" s="7"/>
      <c r="B21" s="7" t="s">
        <v>18</v>
      </c>
      <c r="C21" s="8">
        <v>12947</v>
      </c>
      <c r="D21" s="8">
        <v>13849</v>
      </c>
      <c r="E21" s="8">
        <v>15146</v>
      </c>
      <c r="F21" s="8">
        <v>15235</v>
      </c>
      <c r="G21" s="8">
        <v>14613</v>
      </c>
      <c r="H21" s="8">
        <v>14213</v>
      </c>
    </row>
    <row r="22" spans="1:8" ht="11.25">
      <c r="A22" s="7"/>
      <c r="B22" s="7" t="s">
        <v>19</v>
      </c>
      <c r="C22" s="8">
        <v>5109</v>
      </c>
      <c r="D22" s="8">
        <v>4890</v>
      </c>
      <c r="E22" s="8">
        <v>8785</v>
      </c>
      <c r="F22" s="8">
        <v>9690</v>
      </c>
      <c r="G22" s="8">
        <v>792</v>
      </c>
      <c r="H22" s="8">
        <v>574</v>
      </c>
    </row>
    <row r="23" spans="1:8" ht="11.25">
      <c r="A23" s="3" t="s">
        <v>20</v>
      </c>
      <c r="B23" s="3"/>
      <c r="C23" s="9">
        <v>42172</v>
      </c>
      <c r="D23" s="9">
        <v>43099</v>
      </c>
      <c r="E23" s="9">
        <v>42592</v>
      </c>
      <c r="F23" s="9">
        <v>42357</v>
      </c>
      <c r="G23" s="9">
        <v>42489</v>
      </c>
      <c r="H23" s="9">
        <v>32088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419165</v>
      </c>
      <c r="D25" s="8">
        <v>390403</v>
      </c>
      <c r="E25" s="8">
        <v>392366</v>
      </c>
      <c r="F25" s="8">
        <v>379209</v>
      </c>
      <c r="G25" s="8">
        <f>(G9+H9)/2</f>
        <v>377601</v>
      </c>
      <c r="H25" s="8">
        <v>299121</v>
      </c>
    </row>
    <row r="26" spans="1:8" ht="11.25">
      <c r="A26" s="7" t="s">
        <v>22</v>
      </c>
      <c r="B26" s="7"/>
      <c r="C26" s="8">
        <f aca="true" t="shared" si="4" ref="C26:H26">C27+C28</f>
        <v>310861</v>
      </c>
      <c r="D26" s="8">
        <f t="shared" si="4"/>
        <v>310997</v>
      </c>
      <c r="E26" s="8">
        <f t="shared" si="4"/>
        <v>297766</v>
      </c>
      <c r="F26" s="8">
        <f t="shared" si="4"/>
        <v>303159</v>
      </c>
      <c r="G26" s="8">
        <f t="shared" si="4"/>
        <v>286521</v>
      </c>
      <c r="H26" s="8">
        <f t="shared" si="4"/>
        <v>241359</v>
      </c>
    </row>
    <row r="27" spans="1:8" ht="11.25">
      <c r="A27" s="7"/>
      <c r="B27" s="7" t="s">
        <v>12</v>
      </c>
      <c r="C27" s="8">
        <f>+(C11+G11)/2</f>
        <v>243980</v>
      </c>
      <c r="D27" s="8">
        <v>242815</v>
      </c>
      <c r="E27" s="8">
        <v>227829</v>
      </c>
      <c r="F27" s="8">
        <v>236157</v>
      </c>
      <c r="G27" s="8">
        <f>(G11+H11)/2</f>
        <v>231852.5</v>
      </c>
      <c r="H27" s="8">
        <v>197984</v>
      </c>
    </row>
    <row r="28" spans="1:8" ht="11.25">
      <c r="A28" s="7"/>
      <c r="B28" s="7" t="s">
        <v>15</v>
      </c>
      <c r="C28" s="8">
        <f>+(C14+G14)/2</f>
        <v>66881</v>
      </c>
      <c r="D28" s="8">
        <v>68182</v>
      </c>
      <c r="E28" s="8">
        <v>69937</v>
      </c>
      <c r="F28" s="8">
        <v>67002</v>
      </c>
      <c r="G28" s="8">
        <f>(G14+H14)/2</f>
        <v>54668.5</v>
      </c>
      <c r="H28" s="8">
        <v>43375</v>
      </c>
    </row>
    <row r="29" spans="1:8" ht="11.25">
      <c r="A29" s="3" t="s">
        <v>20</v>
      </c>
      <c r="B29" s="3"/>
      <c r="C29" s="9">
        <f>+(C23+G23)/2</f>
        <v>42330.5</v>
      </c>
      <c r="D29" s="9">
        <v>42688</v>
      </c>
      <c r="E29" s="9">
        <v>42236</v>
      </c>
      <c r="F29" s="9">
        <v>41001</v>
      </c>
      <c r="G29" s="9">
        <f>(G23+H23)/2</f>
        <v>37288.5</v>
      </c>
      <c r="H29" s="9">
        <v>25424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36367</v>
      </c>
      <c r="D31" s="8">
        <v>27046</v>
      </c>
      <c r="E31" s="8">
        <v>17780</v>
      </c>
      <c r="F31" s="8">
        <v>8720</v>
      </c>
      <c r="G31" s="8">
        <v>33864</v>
      </c>
      <c r="H31" s="8">
        <v>28422</v>
      </c>
    </row>
    <row r="32" spans="1:8" ht="11.25">
      <c r="A32" s="7" t="s">
        <v>25</v>
      </c>
      <c r="B32" s="7"/>
      <c r="C32" s="8">
        <v>26468</v>
      </c>
      <c r="D32" s="8">
        <v>19815</v>
      </c>
      <c r="E32" s="8">
        <v>13199</v>
      </c>
      <c r="F32" s="8">
        <v>6753</v>
      </c>
      <c r="G32" s="8">
        <v>25634</v>
      </c>
      <c r="H32" s="8">
        <v>22958</v>
      </c>
    </row>
    <row r="33" spans="1:8" ht="11.25">
      <c r="A33" s="7" t="s">
        <v>26</v>
      </c>
      <c r="B33" s="7"/>
      <c r="C33" s="8">
        <f aca="true" t="shared" si="5" ref="C33:H33">C31-C32</f>
        <v>9899</v>
      </c>
      <c r="D33" s="8">
        <f t="shared" si="5"/>
        <v>7231</v>
      </c>
      <c r="E33" s="8">
        <f t="shared" si="5"/>
        <v>4581</v>
      </c>
      <c r="F33" s="8">
        <f t="shared" si="5"/>
        <v>1967</v>
      </c>
      <c r="G33" s="8">
        <f t="shared" si="5"/>
        <v>8230</v>
      </c>
      <c r="H33" s="8">
        <f t="shared" si="5"/>
        <v>5464</v>
      </c>
    </row>
    <row r="34" spans="1:8" ht="11.25">
      <c r="A34" s="7" t="s">
        <v>27</v>
      </c>
      <c r="B34" s="7"/>
      <c r="C34" s="8">
        <v>8414</v>
      </c>
      <c r="D34" s="8">
        <v>6139</v>
      </c>
      <c r="E34" s="8">
        <v>4371</v>
      </c>
      <c r="F34" s="8">
        <v>2877</v>
      </c>
      <c r="G34" s="8">
        <v>7007</v>
      </c>
      <c r="H34" s="8">
        <v>7690</v>
      </c>
    </row>
    <row r="35" spans="1:8" ht="11.25">
      <c r="A35" s="7" t="s">
        <v>28</v>
      </c>
      <c r="B35" s="7"/>
      <c r="C35" s="8">
        <f aca="true" t="shared" si="6" ref="C35:H35">C33+C34</f>
        <v>18313</v>
      </c>
      <c r="D35" s="8">
        <f t="shared" si="6"/>
        <v>13370</v>
      </c>
      <c r="E35" s="8">
        <f t="shared" si="6"/>
        <v>8952</v>
      </c>
      <c r="F35" s="8">
        <f t="shared" si="6"/>
        <v>4844</v>
      </c>
      <c r="G35" s="8">
        <f t="shared" si="6"/>
        <v>15237</v>
      </c>
      <c r="H35" s="8">
        <f t="shared" si="6"/>
        <v>13154</v>
      </c>
    </row>
    <row r="36" spans="1:8" ht="11.25">
      <c r="A36" s="7" t="s">
        <v>29</v>
      </c>
      <c r="B36" s="7"/>
      <c r="C36" s="8">
        <v>7852</v>
      </c>
      <c r="D36" s="8">
        <v>5963</v>
      </c>
      <c r="E36" s="8">
        <v>3668</v>
      </c>
      <c r="F36" s="8">
        <v>2195</v>
      </c>
      <c r="G36" s="8">
        <v>8625</v>
      </c>
      <c r="H36" s="8">
        <v>7438</v>
      </c>
    </row>
    <row r="37" spans="1:8" ht="11.25">
      <c r="A37" s="7" t="s">
        <v>30</v>
      </c>
      <c r="B37" s="7"/>
      <c r="C37" s="8">
        <f aca="true" t="shared" si="7" ref="C37:H37">C35-C36</f>
        <v>10461</v>
      </c>
      <c r="D37" s="8">
        <f t="shared" si="7"/>
        <v>7407</v>
      </c>
      <c r="E37" s="8">
        <f t="shared" si="7"/>
        <v>5284</v>
      </c>
      <c r="F37" s="8">
        <f t="shared" si="7"/>
        <v>2649</v>
      </c>
      <c r="G37" s="8">
        <f t="shared" si="7"/>
        <v>6612</v>
      </c>
      <c r="H37" s="8">
        <f t="shared" si="7"/>
        <v>5716</v>
      </c>
    </row>
    <row r="38" spans="1:8" ht="11.25">
      <c r="A38" s="3" t="s">
        <v>31</v>
      </c>
      <c r="B38" s="3"/>
      <c r="C38" s="9">
        <v>5434</v>
      </c>
      <c r="D38" s="9">
        <v>4391</v>
      </c>
      <c r="E38" s="9">
        <v>3381</v>
      </c>
      <c r="F38" s="9">
        <v>2091</v>
      </c>
      <c r="G38" s="9">
        <v>4536</v>
      </c>
      <c r="H38" s="9">
        <v>4031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938</v>
      </c>
      <c r="D40" s="8">
        <v>6347</v>
      </c>
      <c r="E40" s="8">
        <v>8404</v>
      </c>
      <c r="F40" s="8">
        <v>4582</v>
      </c>
      <c r="G40" s="8">
        <v>1192</v>
      </c>
      <c r="H40" s="8">
        <v>847</v>
      </c>
    </row>
    <row r="41" spans="1:8" ht="11.25">
      <c r="A41" s="7" t="s">
        <v>34</v>
      </c>
      <c r="B41" s="7"/>
      <c r="C41" s="8">
        <v>7094</v>
      </c>
      <c r="D41" s="8">
        <v>10331</v>
      </c>
      <c r="E41" s="8">
        <v>8819</v>
      </c>
      <c r="F41" s="8">
        <v>6109</v>
      </c>
      <c r="G41" s="8">
        <v>5550</v>
      </c>
      <c r="H41" s="8">
        <v>9621</v>
      </c>
    </row>
    <row r="42" spans="1:8" ht="11.25">
      <c r="A42" s="7" t="s">
        <v>35</v>
      </c>
      <c r="B42" s="7"/>
      <c r="C42" s="10">
        <f aca="true" t="shared" si="8" ref="C42:H42">C40/C11</f>
        <v>0.0037600464995089494</v>
      </c>
      <c r="D42" s="10">
        <f t="shared" si="8"/>
        <v>0.02547093335901696</v>
      </c>
      <c r="E42" s="10">
        <f t="shared" si="8"/>
        <v>0.0346641038438218</v>
      </c>
      <c r="F42" s="10">
        <f t="shared" si="8"/>
        <v>0.019294662596062745</v>
      </c>
      <c r="G42" s="10">
        <f t="shared" si="8"/>
        <v>0.00499800834399044</v>
      </c>
      <c r="H42" s="10">
        <f t="shared" si="8"/>
        <v>0.003760934239154567</v>
      </c>
    </row>
    <row r="43" spans="1:8" ht="11.25">
      <c r="A43" s="7" t="s">
        <v>36</v>
      </c>
      <c r="B43" s="7"/>
      <c r="C43" s="10">
        <f aca="true" t="shared" si="9" ref="C43:H43">C41/C11</f>
        <v>0.02843685486942056</v>
      </c>
      <c r="D43" s="10">
        <f t="shared" si="9"/>
        <v>0.041458990472980024</v>
      </c>
      <c r="E43" s="10">
        <f t="shared" si="9"/>
        <v>0.036375860518641646</v>
      </c>
      <c r="F43" s="10">
        <f t="shared" si="9"/>
        <v>0.025724813138225076</v>
      </c>
      <c r="G43" s="10">
        <f t="shared" si="9"/>
        <v>0.023270928111700454</v>
      </c>
      <c r="H43" s="10">
        <f t="shared" si="9"/>
        <v>0.042720127880644734</v>
      </c>
    </row>
    <row r="44" spans="1:8" ht="11.25">
      <c r="A44" s="11" t="s">
        <v>37</v>
      </c>
      <c r="B44" s="7"/>
      <c r="C44" s="10">
        <f aca="true" t="shared" si="10" ref="C44:H44">(C40+C41)/C11</f>
        <v>0.03219690136892951</v>
      </c>
      <c r="D44" s="10">
        <f t="shared" si="10"/>
        <v>0.06692992383199699</v>
      </c>
      <c r="E44" s="10">
        <f t="shared" si="10"/>
        <v>0.07103996436246345</v>
      </c>
      <c r="F44" s="10">
        <f t="shared" si="10"/>
        <v>0.04501947573428782</v>
      </c>
      <c r="G44" s="10">
        <f t="shared" si="10"/>
        <v>0.028268936455690896</v>
      </c>
      <c r="H44" s="10">
        <f t="shared" si="10"/>
        <v>0.0464810621197993</v>
      </c>
    </row>
    <row r="45" spans="1:8" ht="11.25">
      <c r="A45" s="7" t="s">
        <v>38</v>
      </c>
      <c r="B45" s="7"/>
      <c r="C45" s="10">
        <v>0.021</v>
      </c>
      <c r="D45" s="10">
        <v>0.0185</v>
      </c>
      <c r="E45" s="10">
        <v>0.0174</v>
      </c>
      <c r="F45" s="10">
        <v>0.0154</v>
      </c>
      <c r="G45" s="10">
        <v>0.0133</v>
      </c>
      <c r="H45" s="10">
        <v>0.0115</v>
      </c>
    </row>
    <row r="46" spans="1:8" ht="11.25">
      <c r="A46" s="3" t="s">
        <v>39</v>
      </c>
      <c r="B46" s="3"/>
      <c r="C46" s="12">
        <v>0.6514</v>
      </c>
      <c r="D46" s="12">
        <v>0.2761</v>
      </c>
      <c r="E46" s="12">
        <v>0.2445</v>
      </c>
      <c r="F46" s="12">
        <v>0.3412</v>
      </c>
      <c r="G46" s="12">
        <v>0.4701</v>
      </c>
      <c r="H46" s="12">
        <v>0.2483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C23/(C11+C14)</f>
        <v>0.13163899475903745</v>
      </c>
      <c r="D48" s="10">
        <f t="shared" si="11"/>
        <v>0.13372531376533922</v>
      </c>
      <c r="E48" s="10">
        <f t="shared" si="11"/>
        <v>0.1326803982405642</v>
      </c>
      <c r="F48" s="10">
        <f t="shared" si="11"/>
        <v>0.13439371008119402</v>
      </c>
      <c r="G48" s="10">
        <f t="shared" si="11"/>
        <v>0.14099037367144387</v>
      </c>
      <c r="H48" s="10">
        <f t="shared" si="11"/>
        <v>0.11810910589993412</v>
      </c>
    </row>
    <row r="49" spans="1:8" ht="11.25">
      <c r="A49" s="3" t="s">
        <v>42</v>
      </c>
      <c r="B49" s="3"/>
      <c r="C49" s="12">
        <f aca="true" t="shared" si="12" ref="C49:H49">C23/C11</f>
        <v>0.16904976650031067</v>
      </c>
      <c r="D49" s="12">
        <f t="shared" si="12"/>
        <v>0.17295915500870834</v>
      </c>
      <c r="E49" s="12">
        <f t="shared" si="12"/>
        <v>0.17567985612994502</v>
      </c>
      <c r="F49" s="12">
        <f t="shared" si="12"/>
        <v>0.17836403831982314</v>
      </c>
      <c r="G49" s="12">
        <f t="shared" si="12"/>
        <v>0.17815467829514245</v>
      </c>
      <c r="H49" s="12">
        <f t="shared" si="12"/>
        <v>0.142480351671773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3">
        <f aca="true" t="shared" si="13" ref="C51:H51">C10/C15</f>
        <v>0.2982940205454223</v>
      </c>
      <c r="D51" s="13">
        <f t="shared" si="13"/>
        <v>0.21775976153275683</v>
      </c>
      <c r="E51" s="13">
        <f t="shared" si="13"/>
        <v>0.2754867212637351</v>
      </c>
      <c r="F51" s="13">
        <f t="shared" si="13"/>
        <v>0.2913092169967767</v>
      </c>
      <c r="G51" s="13">
        <f t="shared" si="13"/>
        <v>0.37248719243812684</v>
      </c>
      <c r="H51" s="13">
        <f t="shared" si="13"/>
        <v>0.25061238748045683</v>
      </c>
    </row>
    <row r="52" spans="1:8" ht="11.25">
      <c r="A52" s="7" t="s">
        <v>45</v>
      </c>
      <c r="B52" s="7"/>
      <c r="C52" s="13">
        <f aca="true" t="shared" si="14" ref="C52:H52">C10/C9</f>
        <v>0.20722212744986543</v>
      </c>
      <c r="D52" s="13">
        <f t="shared" si="14"/>
        <v>0.15248370873615086</v>
      </c>
      <c r="E52" s="13">
        <f t="shared" si="14"/>
        <v>0.18853813734402117</v>
      </c>
      <c r="F52" s="13">
        <f t="shared" si="14"/>
        <v>0.19881626943589065</v>
      </c>
      <c r="G52" s="13">
        <f t="shared" si="14"/>
        <v>0.24802890459465823</v>
      </c>
      <c r="H52" s="13">
        <f t="shared" si="14"/>
        <v>0.17356669105671868</v>
      </c>
    </row>
    <row r="53" spans="1:8" ht="11.25">
      <c r="A53" s="3" t="s">
        <v>46</v>
      </c>
      <c r="B53" s="3"/>
      <c r="C53" s="14">
        <f aca="true" t="shared" si="15" ref="C53:H53">(C10+C14)/C15</f>
        <v>0.5400915403609773</v>
      </c>
      <c r="D53" s="14">
        <f t="shared" si="15"/>
        <v>0.4809557409980776</v>
      </c>
      <c r="E53" s="14">
        <f t="shared" si="15"/>
        <v>0.5545248563453111</v>
      </c>
      <c r="F53" s="14">
        <f t="shared" si="15"/>
        <v>0.5701953380187657</v>
      </c>
      <c r="G53" s="14">
        <f t="shared" si="15"/>
        <v>0.5992928782740458</v>
      </c>
      <c r="H53" s="14">
        <f t="shared" si="15"/>
        <v>0.4485828821191376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0">
        <f>(C38)/C26</f>
        <v>0.017480481630053304</v>
      </c>
      <c r="D55" s="10">
        <f>((D38)/0.75)/D26</f>
        <v>0.018825476344359163</v>
      </c>
      <c r="E55" s="10">
        <f>((E38)/0.5)/E26</f>
        <v>0.022709107151253</v>
      </c>
      <c r="F55" s="10">
        <f>((F38)/0.25)/F26</f>
        <v>0.027589482746677486</v>
      </c>
      <c r="G55" s="10">
        <f>G38/G26</f>
        <v>0.015831300323536496</v>
      </c>
      <c r="H55" s="10">
        <f>H38/H26</f>
        <v>0.016701262434796298</v>
      </c>
    </row>
    <row r="56" spans="1:8" ht="11.25">
      <c r="A56" s="7" t="s">
        <v>49</v>
      </c>
      <c r="B56" s="7"/>
      <c r="C56" s="10">
        <f>(C38)/C25</f>
        <v>0.012963868643612897</v>
      </c>
      <c r="D56" s="10">
        <f>((D38)/0.75)/D25</f>
        <v>0.014996469460190284</v>
      </c>
      <c r="E56" s="10">
        <f>((E38)/0.5)/E25</f>
        <v>0.017233909156246972</v>
      </c>
      <c r="F56" s="10">
        <f>((F38)/0.25)/F25</f>
        <v>0.022056438533895557</v>
      </c>
      <c r="G56" s="10">
        <f>G38/G25</f>
        <v>0.012012680051165119</v>
      </c>
      <c r="H56" s="10">
        <f>H38/H25</f>
        <v>0.013476151791415513</v>
      </c>
    </row>
    <row r="57" spans="1:8" ht="11.25">
      <c r="A57" s="7" t="s">
        <v>50</v>
      </c>
      <c r="B57" s="7"/>
      <c r="C57" s="10">
        <f>(C38)/C29</f>
        <v>0.12837079647062993</v>
      </c>
      <c r="D57" s="10">
        <f>((D38)/0.75)/D29</f>
        <v>0.13715017491254375</v>
      </c>
      <c r="E57" s="10">
        <f>((E38)/0.5)/E29</f>
        <v>0.16010038829434606</v>
      </c>
      <c r="F57" s="10">
        <f>((F38)/0.25)/F29</f>
        <v>0.2039950245115973</v>
      </c>
      <c r="G57" s="10">
        <f>G38/G29</f>
        <v>0.12164608391327085</v>
      </c>
      <c r="H57" s="10">
        <f>H38/H29</f>
        <v>0.1585509754562618</v>
      </c>
    </row>
    <row r="58" spans="1:8" ht="11.25">
      <c r="A58" s="7" t="s">
        <v>51</v>
      </c>
      <c r="B58" s="7"/>
      <c r="C58" s="10">
        <f>(C31)/C25</f>
        <v>0.08676058354108764</v>
      </c>
      <c r="D58" s="10">
        <f>((D31)/0.75)/D25</f>
        <v>0.09236950877255896</v>
      </c>
      <c r="E58" s="10">
        <f>((E31)/0.5)/E25</f>
        <v>0.09062966719848305</v>
      </c>
      <c r="F58" s="10">
        <f>((F31)/0.25)/F25</f>
        <v>0.09198093927095612</v>
      </c>
      <c r="G58" s="10">
        <f>G31/G25</f>
        <v>0.08968196588462425</v>
      </c>
      <c r="H58" s="10">
        <f>H31/H25</f>
        <v>0.09501840392349584</v>
      </c>
    </row>
    <row r="59" spans="1:8" ht="11.25">
      <c r="A59" s="7" t="s">
        <v>52</v>
      </c>
      <c r="B59" s="7"/>
      <c r="C59" s="10">
        <f>(C32)/C25</f>
        <v>0.06314458506793268</v>
      </c>
      <c r="D59" s="10">
        <f>((D32)/0.75)/D25</f>
        <v>0.06767366029461863</v>
      </c>
      <c r="E59" s="10">
        <f>((E32)/0.5)/E25</f>
        <v>0.06727902009858143</v>
      </c>
      <c r="F59" s="10">
        <f>((F32)/0.25)/F25</f>
        <v>0.07123248657073013</v>
      </c>
      <c r="G59" s="10">
        <f>G32/G25</f>
        <v>0.06788647275828188</v>
      </c>
      <c r="H59" s="10">
        <f>H32/H25</f>
        <v>0.07675154870437047</v>
      </c>
    </row>
    <row r="60" spans="1:8" ht="11.25">
      <c r="A60" s="7" t="s">
        <v>53</v>
      </c>
      <c r="B60" s="7"/>
      <c r="C60" s="10">
        <f>(C33)/C25</f>
        <v>0.023615998473154962</v>
      </c>
      <c r="D60" s="10">
        <f>((D33)/0.75)/D25</f>
        <v>0.02469584847794032</v>
      </c>
      <c r="E60" s="10">
        <f>((E33)/0.5)/E25</f>
        <v>0.023350647099901624</v>
      </c>
      <c r="F60" s="10">
        <f>((F33)/0.25)/F25</f>
        <v>0.020748452700225996</v>
      </c>
      <c r="G60" s="10">
        <f>G33/G25</f>
        <v>0.021795493126342356</v>
      </c>
      <c r="H60" s="10">
        <f>H33/H25</f>
        <v>0.01826685521912537</v>
      </c>
    </row>
    <row r="61" spans="1:8" ht="11.25">
      <c r="A61" s="7" t="s">
        <v>54</v>
      </c>
      <c r="B61" s="7"/>
      <c r="C61" s="10">
        <f>(C36)/(C35)</f>
        <v>0.4287664500627969</v>
      </c>
      <c r="D61" s="10">
        <f>((D36)/0.75)/((D35)/0.75)</f>
        <v>0.44599850411368736</v>
      </c>
      <c r="E61" s="10">
        <f>((E36)/0.5)/((E35)/0.5)</f>
        <v>0.4097408400357462</v>
      </c>
      <c r="F61" s="10">
        <f>(F36/0.25)/(F35/0.25)</f>
        <v>0.45313790255986786</v>
      </c>
      <c r="G61" s="10">
        <f>G36/G35</f>
        <v>0.5660563102973026</v>
      </c>
      <c r="H61" s="10">
        <f>H36/H35</f>
        <v>0.5654553747909381</v>
      </c>
    </row>
    <row r="62" spans="1:8" ht="11.25">
      <c r="A62" s="3" t="s">
        <v>55</v>
      </c>
      <c r="B62" s="3"/>
      <c r="C62" s="12">
        <f>(C34)/C25</f>
        <v>0.020073240847876133</v>
      </c>
      <c r="D62" s="12">
        <f>((D34)/0.75)/D25</f>
        <v>0.020966368940129387</v>
      </c>
      <c r="E62" s="12">
        <f>((E34)/0.5)/E25</f>
        <v>0.02228021795976206</v>
      </c>
      <c r="F62" s="12">
        <f>(F34/0.255)/F25</f>
        <v>0.029752334309513937</v>
      </c>
      <c r="G62" s="12">
        <f>G34/G25</f>
        <v>0.018556624585210315</v>
      </c>
      <c r="H62" s="12">
        <f>H34/H25</f>
        <v>0.025708659706272712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260</v>
      </c>
      <c r="D64" s="8">
        <v>260</v>
      </c>
      <c r="E64" s="8">
        <v>267</v>
      </c>
      <c r="F64" s="8">
        <v>259</v>
      </c>
      <c r="G64" s="8">
        <v>256</v>
      </c>
      <c r="H64" s="8">
        <v>210</v>
      </c>
    </row>
    <row r="65" spans="1:8" ht="11.25">
      <c r="A65" s="7" t="s">
        <v>58</v>
      </c>
      <c r="B65" s="7"/>
      <c r="C65" s="8">
        <v>8</v>
      </c>
      <c r="D65" s="8">
        <v>8</v>
      </c>
      <c r="E65" s="8">
        <v>8</v>
      </c>
      <c r="F65" s="8">
        <v>8</v>
      </c>
      <c r="G65" s="8">
        <v>8</v>
      </c>
      <c r="H65" s="8">
        <v>5</v>
      </c>
    </row>
    <row r="66" spans="1:8" ht="11.25">
      <c r="A66" s="7" t="s">
        <v>59</v>
      </c>
      <c r="B66" s="7"/>
      <c r="C66" s="8">
        <f aca="true" t="shared" si="16" ref="C66:H66">C11/C64</f>
        <v>959.4807692307693</v>
      </c>
      <c r="D66" s="8">
        <f t="shared" si="16"/>
        <v>958.4076923076923</v>
      </c>
      <c r="E66" s="8">
        <f t="shared" si="16"/>
        <v>908.0187265917604</v>
      </c>
      <c r="F66" s="8">
        <f t="shared" si="16"/>
        <v>916.8918918918919</v>
      </c>
      <c r="G66" s="8">
        <f t="shared" si="16"/>
        <v>931.62109375</v>
      </c>
      <c r="H66" s="8">
        <f t="shared" si="16"/>
        <v>1072.4285714285713</v>
      </c>
    </row>
    <row r="67" spans="1:8" ht="11.25">
      <c r="A67" s="7" t="s">
        <v>60</v>
      </c>
      <c r="B67" s="7"/>
      <c r="C67" s="8">
        <f aca="true" t="shared" si="17" ref="C67:H67">C15/C64</f>
        <v>1127.7076923076922</v>
      </c>
      <c r="D67" s="8">
        <f t="shared" si="17"/>
        <v>1068.3615384615384</v>
      </c>
      <c r="E67" s="8">
        <f t="shared" si="17"/>
        <v>1054.5992509363296</v>
      </c>
      <c r="F67" s="8">
        <f t="shared" si="17"/>
        <v>1075.6525096525097</v>
      </c>
      <c r="G67" s="8">
        <f t="shared" si="17"/>
        <v>1082.734375</v>
      </c>
      <c r="H67" s="8">
        <f t="shared" si="17"/>
        <v>1117.7952380952381</v>
      </c>
    </row>
    <row r="68" spans="1:8" ht="11.25">
      <c r="A68" s="3" t="s">
        <v>61</v>
      </c>
      <c r="B68" s="3"/>
      <c r="C68" s="9">
        <f aca="true" t="shared" si="18" ref="C68:H68">C38/C64</f>
        <v>20.9</v>
      </c>
      <c r="D68" s="9">
        <f t="shared" si="18"/>
        <v>16.888461538461538</v>
      </c>
      <c r="E68" s="9">
        <f t="shared" si="18"/>
        <v>12.662921348314606</v>
      </c>
      <c r="F68" s="9">
        <f t="shared" si="18"/>
        <v>8.073359073359073</v>
      </c>
      <c r="G68" s="9">
        <f t="shared" si="18"/>
        <v>17.71875</v>
      </c>
      <c r="H68" s="9">
        <f t="shared" si="18"/>
        <v>19.195238095238096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(C9-G9)/G9</f>
        <v>0.013928593735736284</v>
      </c>
      <c r="D70" s="10">
        <f>(D9-384122)/384122</f>
        <v>0.032705754942440164</v>
      </c>
      <c r="E70" s="10">
        <f>(E9-373299)/F9</f>
        <v>0.09342211312564154</v>
      </c>
      <c r="F70" s="10">
        <f>(F9-350217)/350217</f>
        <v>0.16556592055782557</v>
      </c>
      <c r="G70" s="10">
        <f>(G9-H9)/H9</f>
        <v>0.2281551679373097</v>
      </c>
      <c r="H70" s="10">
        <f>(H9-259308)/259308</f>
        <v>0.3070788406065374</v>
      </c>
    </row>
    <row r="71" spans="1:8" ht="11.25">
      <c r="A71" s="7" t="s">
        <v>64</v>
      </c>
      <c r="B71" s="7"/>
      <c r="C71" s="10">
        <f>C11/G11-1</f>
        <v>0.04599677142078451</v>
      </c>
      <c r="D71" s="10">
        <f>D11/G11-1</f>
        <v>0.04482693557516937</v>
      </c>
      <c r="E71" s="10">
        <f>E11/213218-1</f>
        <v>0.13705690889136934</v>
      </c>
      <c r="F71" s="10">
        <f>F11/234839-1</f>
        <v>0.011224711398021725</v>
      </c>
      <c r="G71" s="10">
        <f>G11/H11-1</f>
        <v>0.05898938768260731</v>
      </c>
      <c r="H71" s="10">
        <f>H11/170759-1</f>
        <v>0.3188763110582751</v>
      </c>
    </row>
    <row r="72" spans="1:8" ht="11.25">
      <c r="A72" s="7"/>
      <c r="B72" s="7" t="s">
        <v>13</v>
      </c>
      <c r="C72" s="10">
        <f>(C12-G12)/G12</f>
        <v>0.054215639649432705</v>
      </c>
      <c r="D72" s="10">
        <f>D12/232971-1</f>
        <v>0.05735048568276735</v>
      </c>
      <c r="E72" s="10">
        <f>E12/208051-1</f>
        <v>0.15039100989661192</v>
      </c>
      <c r="F72" s="10">
        <f>F12/227415-1</f>
        <v>0.03175252292065167</v>
      </c>
      <c r="G72" s="10">
        <f>(G12-H12)/H12</f>
        <v>0.07179785917133912</v>
      </c>
      <c r="H72" s="10">
        <f>(H12-164698)/164698</f>
        <v>0.3341267046351504</v>
      </c>
    </row>
    <row r="73" spans="1:8" ht="11.25">
      <c r="A73" s="7"/>
      <c r="B73" s="7" t="s">
        <v>14</v>
      </c>
      <c r="C73" s="10">
        <f>(C13-G13)/G13</f>
        <v>-0.6011367435640254</v>
      </c>
      <c r="D73" s="10">
        <f>D13/3473-1</f>
        <v>-0.1782320760149726</v>
      </c>
      <c r="E73" s="10">
        <f>E13/5167-1</f>
        <v>-0.3998451712792723</v>
      </c>
      <c r="F73" s="10">
        <f>F13/7424-1</f>
        <v>-0.6175915948275862</v>
      </c>
      <c r="G73" s="10">
        <f>(G13-H13)/H13</f>
        <v>-0.4543962057643196</v>
      </c>
      <c r="H73" s="10">
        <f>(H13-6060)/6060</f>
        <v>-0.09537953795379538</v>
      </c>
    </row>
    <row r="74" spans="1:8" ht="11.25">
      <c r="A74" s="7" t="s">
        <v>65</v>
      </c>
      <c r="B74" s="7"/>
      <c r="C74" s="10">
        <f>C15/G15-1</f>
        <v>0.05781080886066814</v>
      </c>
      <c r="D74" s="10">
        <f>D15/242699-1</f>
        <v>0.14452057898878867</v>
      </c>
      <c r="E74" s="10">
        <f>E15/255566-1</f>
        <v>0.10178192717341128</v>
      </c>
      <c r="F74" s="10">
        <f>F15/236003-1</f>
        <v>0.18046804489773427</v>
      </c>
      <c r="G74" s="10">
        <f>G15/H15-1</f>
        <v>0.1808108649254272</v>
      </c>
      <c r="H74" s="10">
        <f>H15/213712-1</f>
        <v>0.09838006288837309</v>
      </c>
    </row>
    <row r="75" spans="1:8" ht="11.25">
      <c r="A75" s="7"/>
      <c r="B75" s="7" t="s">
        <v>13</v>
      </c>
      <c r="C75" s="10">
        <f>(C16-G16)/G16</f>
        <v>0.0510858561741954</v>
      </c>
      <c r="D75" s="10">
        <f>(D16-242699)/242699</f>
        <v>0.06730971285419388</v>
      </c>
      <c r="E75" s="10">
        <f>E16/239814-1</f>
        <v>0.07436179705938772</v>
      </c>
      <c r="F75" s="10">
        <f>F16/221354-1</f>
        <v>0.14598787462616447</v>
      </c>
      <c r="G75" s="10">
        <f>(G16-H16)/H16</f>
        <v>0.190156853830416</v>
      </c>
      <c r="H75" s="10">
        <f>(H16-186031)/186031</f>
        <v>0.18232982674930523</v>
      </c>
    </row>
    <row r="76" spans="1:8" ht="11.25">
      <c r="A76" s="7"/>
      <c r="B76" s="7" t="s">
        <v>14</v>
      </c>
      <c r="C76" s="10">
        <f>(C20-G20)/G20</f>
        <v>0.17208698474521258</v>
      </c>
      <c r="D76" s="10">
        <f>(D20-15506)/15506</f>
        <v>0.20849993550883528</v>
      </c>
      <c r="E76" s="10">
        <f>E20/15753-1</f>
        <v>0.519139211578747</v>
      </c>
      <c r="F76" s="10">
        <f>(F20-14648)/14648</f>
        <v>0.701597487711633</v>
      </c>
      <c r="G76" s="10">
        <f>(G20-H20)/H20</f>
        <v>0.04179346723473321</v>
      </c>
      <c r="H76" s="10">
        <f>(H20-27680)/27680</f>
        <v>-0.46578757225433526</v>
      </c>
    </row>
    <row r="77" spans="1:8" ht="11.25">
      <c r="A77" s="7" t="s">
        <v>66</v>
      </c>
      <c r="B77" s="7"/>
      <c r="C77" s="10">
        <f>(C23-G23)/G23</f>
        <v>-0.007460754548236014</v>
      </c>
      <c r="D77" s="10">
        <f>(D23-42277)/42277</f>
        <v>0.01944319606405374</v>
      </c>
      <c r="E77" s="10">
        <f>(E23-42061)/42061</f>
        <v>0.01262452152825658</v>
      </c>
      <c r="F77" s="10">
        <f>(F23-39646)/39646</f>
        <v>0.06838016445543056</v>
      </c>
      <c r="G77" s="10">
        <f>(G23-H23)/H23</f>
        <v>0.32413986537023187</v>
      </c>
      <c r="H77" s="10">
        <f>(H23-18760)/18760</f>
        <v>0.7104477611940299</v>
      </c>
    </row>
    <row r="78" spans="1:8" ht="11.25">
      <c r="A78" s="3" t="s">
        <v>67</v>
      </c>
      <c r="B78" s="3"/>
      <c r="C78" s="12">
        <f>C38/G38-1</f>
        <v>0.19797178130511472</v>
      </c>
      <c r="D78" s="12">
        <f>D38/4002-1</f>
        <v>0.09720139930034977</v>
      </c>
      <c r="E78" s="12">
        <f>E38/2750-1</f>
        <v>0.22945454545454536</v>
      </c>
      <c r="F78" s="12">
        <f>F38/1826-1</f>
        <v>0.14512595837897035</v>
      </c>
      <c r="G78" s="12">
        <f>(G38-H38)/H38</f>
        <v>0.12527908707516744</v>
      </c>
      <c r="H78" s="12">
        <f>(H38-2041)/2041</f>
        <v>0.9750122488975992</v>
      </c>
    </row>
    <row r="79" spans="1:8" ht="9">
      <c r="A79" s="2"/>
      <c r="B79" s="2"/>
      <c r="C79" s="2"/>
      <c r="D79" s="2"/>
      <c r="E79" s="2"/>
      <c r="F79" s="2"/>
      <c r="G79" s="2"/>
      <c r="H79" s="2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2002-05-02T19:27:53Z</cp:lastPrinted>
  <dcterms:created xsi:type="dcterms:W3CDTF">2002-03-08T15:17:08Z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