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vivienda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<sst xmlns="http://schemas.openxmlformats.org/spreadsheetml/2006/main" count="80" uniqueCount="68">
  <si>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18-13    BANCO PANAMEÑO DE LA VIVIENDA,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</si>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</sst>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Alignment="1">
      <alignment/>
    </xf>
    <xf numFmtId="9" fontId="4" fillId="0" borderId="0" xfId="19" applyFont="1" applyAlignment="1">
      <alignment/>
    </xf>
    <xf numFmtId="43" fontId="4" fillId="0" borderId="1" xfId="15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11.421875" defaultRowHeight="12.75"/>
  <cols>
    <col min="1" max="1" width="2.8515625" style="1" customWidth="1"/>
    <col min="2" max="2" width="34.7109375" style="1" customWidth="1"/>
    <col min="3" max="3" width="11.28125" style="1" customWidth="1"/>
    <col min="4" max="4" width="9.28125" style="1" customWidth="1"/>
    <col min="5" max="5" width="8.7109375" style="1" customWidth="1"/>
    <col min="6" max="6" width="8.8515625" style="1" customWidth="1"/>
    <col min="7" max="7" width="11.28125" style="1" customWidth="1"/>
    <col min="8" max="8" width="11.140625" style="1" customWidth="1"/>
    <col min="9" max="16384" width="9.8515625" style="1" customWidth="1"/>
  </cols>
  <sheetData>
    <row r="1" spans="2:8" ht="11.25">
      <c r="B1" s="18"/>
      <c r="C1" s="18"/>
      <c r="D1" s="18"/>
      <c r="E1" s="18"/>
      <c r="F1" s="18"/>
      <c r="G1" s="18"/>
      <c r="H1" s="18"/>
    </row>
    <row r="2" spans="2:8" ht="11.25">
      <c r="B2" s="18"/>
      <c r="C2" s="18"/>
      <c r="D2" s="18"/>
      <c r="E2" s="18"/>
      <c r="F2" s="18" t="s">
        <v>0</v>
      </c>
      <c r="G2" s="18"/>
      <c r="H2" s="18"/>
    </row>
    <row r="3" spans="2:8" ht="11.25">
      <c r="B3" s="19"/>
      <c r="C3" s="19"/>
      <c r="D3" s="19"/>
      <c r="E3" s="19"/>
      <c r="F3" s="18" t="s">
        <v>1</v>
      </c>
      <c r="G3" s="19"/>
      <c r="H3" s="19"/>
    </row>
    <row r="4" spans="1:8" ht="11.25">
      <c r="A4" s="19"/>
      <c r="B4" s="19"/>
      <c r="C4" s="19"/>
      <c r="D4" s="19"/>
      <c r="E4" s="19"/>
      <c r="F4" s="19" t="s">
        <v>2</v>
      </c>
      <c r="G4" s="19"/>
      <c r="H4" s="19"/>
    </row>
    <row r="5" spans="1:8" ht="11.25">
      <c r="A5" s="19"/>
      <c r="B5" s="19"/>
      <c r="C5" s="19"/>
      <c r="D5" s="19"/>
      <c r="E5" s="19"/>
      <c r="F5" s="19"/>
      <c r="G5" s="19"/>
      <c r="H5" s="19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120386</v>
      </c>
      <c r="D9" s="8">
        <v>117371</v>
      </c>
      <c r="E9" s="8">
        <v>107805</v>
      </c>
      <c r="F9" s="8">
        <v>108313</v>
      </c>
      <c r="G9" s="8">
        <v>109502</v>
      </c>
      <c r="H9" s="8">
        <v>105674</v>
      </c>
    </row>
    <row r="10" spans="1:8" ht="11.25">
      <c r="A10" s="7" t="s">
        <v>11</v>
      </c>
      <c r="B10" s="7"/>
      <c r="C10" s="8">
        <v>22681</v>
      </c>
      <c r="D10" s="8">
        <v>20186</v>
      </c>
      <c r="E10" s="8">
        <v>12241</v>
      </c>
      <c r="F10" s="8">
        <v>15058</v>
      </c>
      <c r="G10" s="8">
        <v>21878</v>
      </c>
      <c r="H10" s="8">
        <v>27753</v>
      </c>
    </row>
    <row r="11" spans="1:8" ht="11.25">
      <c r="A11" s="7" t="s">
        <v>12</v>
      </c>
      <c r="B11" s="7"/>
      <c r="C11" s="8">
        <f aca="true" t="shared" si="0" ref="C11:H11">C12+C13</f>
        <v>85046</v>
      </c>
      <c r="D11" s="8">
        <f t="shared" si="0"/>
        <v>86658</v>
      </c>
      <c r="E11" s="8">
        <f t="shared" si="0"/>
        <v>85150</v>
      </c>
      <c r="F11" s="8">
        <f t="shared" si="0"/>
        <v>82247</v>
      </c>
      <c r="G11" s="8">
        <f t="shared" si="0"/>
        <v>77157</v>
      </c>
      <c r="H11" s="8">
        <f t="shared" si="0"/>
        <v>66410</v>
      </c>
    </row>
    <row r="12" spans="1:8" ht="11.25">
      <c r="A12" s="7"/>
      <c r="B12" s="7" t="s">
        <v>13</v>
      </c>
      <c r="C12" s="8">
        <v>84966</v>
      </c>
      <c r="D12" s="8">
        <v>86574</v>
      </c>
      <c r="E12" s="8">
        <v>85060</v>
      </c>
      <c r="F12" s="8">
        <v>82188</v>
      </c>
      <c r="G12" s="8">
        <v>77093</v>
      </c>
      <c r="H12" s="8">
        <v>66333</v>
      </c>
    </row>
    <row r="13" spans="1:8" ht="11.25">
      <c r="A13" s="7"/>
      <c r="B13" s="7" t="s">
        <v>14</v>
      </c>
      <c r="C13" s="8">
        <v>80</v>
      </c>
      <c r="D13" s="8">
        <v>84</v>
      </c>
      <c r="E13" s="8">
        <v>90</v>
      </c>
      <c r="F13" s="8">
        <v>59</v>
      </c>
      <c r="G13" s="8">
        <v>64</v>
      </c>
      <c r="H13" s="8">
        <v>77</v>
      </c>
    </row>
    <row r="14" spans="1:8" ht="11.25">
      <c r="A14" s="7" t="s">
        <v>15</v>
      </c>
      <c r="B14" s="7"/>
      <c r="C14" s="8">
        <v>5526</v>
      </c>
      <c r="D14" s="8">
        <v>3662</v>
      </c>
      <c r="E14" s="8">
        <v>3933</v>
      </c>
      <c r="F14" s="8">
        <v>3433</v>
      </c>
      <c r="G14" s="8">
        <v>3433</v>
      </c>
      <c r="H14" s="8">
        <v>3333</v>
      </c>
    </row>
    <row r="15" spans="1:8" ht="11.25">
      <c r="A15" s="7" t="s">
        <v>16</v>
      </c>
      <c r="B15" s="7"/>
      <c r="C15" s="8">
        <f aca="true" t="shared" si="1" ref="C15:H15">C16+C20</f>
        <v>105188</v>
      </c>
      <c r="D15" s="8">
        <f t="shared" si="1"/>
        <v>102262</v>
      </c>
      <c r="E15" s="8">
        <f t="shared" si="1"/>
        <v>93444</v>
      </c>
      <c r="F15" s="8">
        <f t="shared" si="1"/>
        <v>93863</v>
      </c>
      <c r="G15" s="8">
        <f t="shared" si="1"/>
        <v>94338</v>
      </c>
      <c r="H15" s="8">
        <f t="shared" si="1"/>
        <v>88935</v>
      </c>
    </row>
    <row r="16" spans="1:8" ht="11.25">
      <c r="A16" s="7"/>
      <c r="B16" s="7" t="s">
        <v>13</v>
      </c>
      <c r="C16" s="8">
        <f aca="true" t="shared" si="2" ref="C16:H16">SUM(C17:C19)</f>
        <v>99647</v>
      </c>
      <c r="D16" s="8">
        <f t="shared" si="2"/>
        <v>96310</v>
      </c>
      <c r="E16" s="8">
        <f t="shared" si="2"/>
        <v>87507</v>
      </c>
      <c r="F16" s="8">
        <f t="shared" si="2"/>
        <v>88068</v>
      </c>
      <c r="G16" s="8">
        <f t="shared" si="2"/>
        <v>92763</v>
      </c>
      <c r="H16" s="8">
        <f t="shared" si="2"/>
        <v>87166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83844</v>
      </c>
      <c r="D18" s="8">
        <v>79480</v>
      </c>
      <c r="E18" s="8">
        <v>76757</v>
      </c>
      <c r="F18" s="8">
        <v>77018</v>
      </c>
      <c r="G18" s="8">
        <v>80407</v>
      </c>
      <c r="H18" s="8">
        <v>78866</v>
      </c>
    </row>
    <row r="19" spans="1:8" ht="11.25">
      <c r="A19" s="7"/>
      <c r="B19" s="7" t="s">
        <v>19</v>
      </c>
      <c r="C19" s="8">
        <v>15803</v>
      </c>
      <c r="D19" s="8">
        <v>16830</v>
      </c>
      <c r="E19" s="8">
        <v>10750</v>
      </c>
      <c r="F19" s="8">
        <v>11050</v>
      </c>
      <c r="G19" s="8">
        <v>12356</v>
      </c>
      <c r="H19" s="8">
        <v>8300</v>
      </c>
    </row>
    <row r="20" spans="1:8" ht="11.25">
      <c r="A20" s="7"/>
      <c r="B20" s="7" t="s">
        <v>14</v>
      </c>
      <c r="C20" s="8">
        <f aca="true" t="shared" si="3" ref="C20:H20">SUM(C21:C22)</f>
        <v>5541</v>
      </c>
      <c r="D20" s="8">
        <f t="shared" si="3"/>
        <v>5952</v>
      </c>
      <c r="E20" s="8">
        <f t="shared" si="3"/>
        <v>5937</v>
      </c>
      <c r="F20" s="8">
        <f t="shared" si="3"/>
        <v>5795</v>
      </c>
      <c r="G20" s="8">
        <f t="shared" si="3"/>
        <v>1575</v>
      </c>
      <c r="H20" s="8">
        <f t="shared" si="3"/>
        <v>1769</v>
      </c>
    </row>
    <row r="21" spans="1:8" ht="11.25">
      <c r="A21" s="7"/>
      <c r="B21" s="7" t="s">
        <v>18</v>
      </c>
      <c r="C21" s="8">
        <v>5541</v>
      </c>
      <c r="D21" s="8">
        <v>5952</v>
      </c>
      <c r="E21" s="8">
        <v>5937</v>
      </c>
      <c r="F21" s="8">
        <v>5795</v>
      </c>
      <c r="G21" s="8">
        <v>1575</v>
      </c>
      <c r="H21" s="8">
        <v>1769</v>
      </c>
    </row>
    <row r="22" spans="1:8" ht="11.25">
      <c r="A22" s="7"/>
      <c r="B22" s="7" t="s">
        <v>19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1.25">
      <c r="A23" s="3" t="s">
        <v>20</v>
      </c>
      <c r="B23" s="3"/>
      <c r="C23" s="9">
        <v>12079</v>
      </c>
      <c r="D23" s="9">
        <v>11796</v>
      </c>
      <c r="E23" s="9">
        <v>11555</v>
      </c>
      <c r="F23" s="9">
        <v>11321</v>
      </c>
      <c r="G23" s="9">
        <v>12048</v>
      </c>
      <c r="H23" s="9">
        <v>10972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114944</v>
      </c>
      <c r="D25" s="8">
        <v>111185</v>
      </c>
      <c r="E25" s="8">
        <v>104032</v>
      </c>
      <c r="F25" s="8">
        <v>104165</v>
      </c>
      <c r="G25" s="8">
        <f>(G9+H9)/2</f>
        <v>107588</v>
      </c>
      <c r="H25" s="8">
        <v>98036</v>
      </c>
    </row>
    <row r="26" spans="1:8" ht="11.25">
      <c r="A26" s="7" t="s">
        <v>22</v>
      </c>
      <c r="B26" s="7"/>
      <c r="C26" s="8">
        <f aca="true" t="shared" si="4" ref="C26:H26">C27+C28</f>
        <v>85581</v>
      </c>
      <c r="D26" s="8">
        <f t="shared" si="4"/>
        <v>84148</v>
      </c>
      <c r="E26" s="8">
        <f t="shared" si="4"/>
        <v>80637</v>
      </c>
      <c r="F26" s="8">
        <f t="shared" si="4"/>
        <v>78294</v>
      </c>
      <c r="G26" s="8">
        <f t="shared" si="4"/>
        <v>75166.5</v>
      </c>
      <c r="H26" s="8">
        <f t="shared" si="4"/>
        <v>65789</v>
      </c>
    </row>
    <row r="27" spans="1:8" ht="11.25">
      <c r="A27" s="7"/>
      <c r="B27" s="7" t="s">
        <v>12</v>
      </c>
      <c r="C27" s="8">
        <f>+(C11+G11)/2</f>
        <v>81101.5</v>
      </c>
      <c r="D27" s="8">
        <v>80594</v>
      </c>
      <c r="E27" s="8">
        <v>76948</v>
      </c>
      <c r="F27" s="8">
        <v>74855</v>
      </c>
      <c r="G27" s="8">
        <f>(G11+H11)/2</f>
        <v>71783.5</v>
      </c>
      <c r="H27" s="8">
        <v>63176</v>
      </c>
    </row>
    <row r="28" spans="1:8" ht="11.25">
      <c r="A28" s="7"/>
      <c r="B28" s="7" t="s">
        <v>15</v>
      </c>
      <c r="C28" s="8">
        <f>+(C14+G14)/2</f>
        <v>4479.5</v>
      </c>
      <c r="D28" s="8">
        <v>3554</v>
      </c>
      <c r="E28" s="8">
        <v>3689</v>
      </c>
      <c r="F28" s="8">
        <v>3439</v>
      </c>
      <c r="G28" s="8">
        <f>(G14+H14)/2</f>
        <v>3383</v>
      </c>
      <c r="H28" s="8">
        <v>2613</v>
      </c>
    </row>
    <row r="29" spans="1:8" ht="11.25">
      <c r="A29" s="3" t="s">
        <v>20</v>
      </c>
      <c r="B29" s="3"/>
      <c r="C29" s="9">
        <f>+(C23+G23)/2</f>
        <v>12063.5</v>
      </c>
      <c r="D29" s="9">
        <v>11483</v>
      </c>
      <c r="E29" s="9">
        <v>11136</v>
      </c>
      <c r="F29" s="9">
        <v>10870</v>
      </c>
      <c r="G29" s="9">
        <f>(G23+H23)/2</f>
        <v>11510</v>
      </c>
      <c r="H29" s="9">
        <v>9012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10052</v>
      </c>
      <c r="D31" s="8">
        <v>7215</v>
      </c>
      <c r="E31" s="8">
        <v>4563</v>
      </c>
      <c r="F31" s="8">
        <v>2241</v>
      </c>
      <c r="G31" s="8">
        <v>9881</v>
      </c>
      <c r="H31" s="8">
        <v>9570</v>
      </c>
    </row>
    <row r="32" spans="1:8" ht="11.25">
      <c r="A32" s="7" t="s">
        <v>25</v>
      </c>
      <c r="B32" s="7"/>
      <c r="C32" s="8">
        <v>7234</v>
      </c>
      <c r="D32" s="8">
        <v>5275</v>
      </c>
      <c r="E32" s="8">
        <v>3427</v>
      </c>
      <c r="F32" s="8">
        <v>1689</v>
      </c>
      <c r="G32" s="8">
        <v>5394</v>
      </c>
      <c r="H32" s="8">
        <v>6017</v>
      </c>
    </row>
    <row r="33" spans="1:8" ht="11.25">
      <c r="A33" s="7" t="s">
        <v>26</v>
      </c>
      <c r="B33" s="7"/>
      <c r="C33" s="8">
        <f aca="true" t="shared" si="5" ref="C33:H33">C31-C32</f>
        <v>2818</v>
      </c>
      <c r="D33" s="8">
        <f t="shared" si="5"/>
        <v>1940</v>
      </c>
      <c r="E33" s="8">
        <f t="shared" si="5"/>
        <v>1136</v>
      </c>
      <c r="F33" s="8">
        <f t="shared" si="5"/>
        <v>552</v>
      </c>
      <c r="G33" s="8">
        <f t="shared" si="5"/>
        <v>4487</v>
      </c>
      <c r="H33" s="8">
        <f t="shared" si="5"/>
        <v>3553</v>
      </c>
    </row>
    <row r="34" spans="1:8" ht="11.25">
      <c r="A34" s="7" t="s">
        <v>27</v>
      </c>
      <c r="B34" s="7"/>
      <c r="C34" s="8">
        <v>1119</v>
      </c>
      <c r="D34" s="8">
        <v>880</v>
      </c>
      <c r="E34" s="8">
        <v>599</v>
      </c>
      <c r="F34" s="8">
        <v>320</v>
      </c>
      <c r="G34" s="8">
        <v>1122</v>
      </c>
      <c r="H34" s="8">
        <v>732</v>
      </c>
    </row>
    <row r="35" spans="1:8" ht="11.25">
      <c r="A35" s="7" t="s">
        <v>28</v>
      </c>
      <c r="B35" s="7"/>
      <c r="C35" s="8">
        <f aca="true" t="shared" si="6" ref="C35:H35">C33+C34</f>
        <v>3937</v>
      </c>
      <c r="D35" s="8">
        <f t="shared" si="6"/>
        <v>2820</v>
      </c>
      <c r="E35" s="8">
        <f t="shared" si="6"/>
        <v>1735</v>
      </c>
      <c r="F35" s="8">
        <f t="shared" si="6"/>
        <v>872</v>
      </c>
      <c r="G35" s="8">
        <f t="shared" si="6"/>
        <v>5609</v>
      </c>
      <c r="H35" s="8">
        <f t="shared" si="6"/>
        <v>4285</v>
      </c>
    </row>
    <row r="36" spans="1:8" ht="11.25">
      <c r="A36" s="7" t="s">
        <v>29</v>
      </c>
      <c r="B36" s="7"/>
      <c r="C36" s="8">
        <v>2816</v>
      </c>
      <c r="D36" s="8">
        <v>2117</v>
      </c>
      <c r="E36" s="8">
        <v>1284</v>
      </c>
      <c r="F36" s="8">
        <v>666</v>
      </c>
      <c r="G36" s="8">
        <v>2882</v>
      </c>
      <c r="H36" s="8">
        <v>2743</v>
      </c>
    </row>
    <row r="37" spans="1:8" ht="11.25">
      <c r="A37" s="7" t="s">
        <v>30</v>
      </c>
      <c r="B37" s="7"/>
      <c r="C37" s="8">
        <f aca="true" t="shared" si="7" ref="C37:H37">C35-C36</f>
        <v>1121</v>
      </c>
      <c r="D37" s="8">
        <f t="shared" si="7"/>
        <v>703</v>
      </c>
      <c r="E37" s="8">
        <f t="shared" si="7"/>
        <v>451</v>
      </c>
      <c r="F37" s="8">
        <f t="shared" si="7"/>
        <v>206</v>
      </c>
      <c r="G37" s="8">
        <f t="shared" si="7"/>
        <v>2727</v>
      </c>
      <c r="H37" s="8">
        <f t="shared" si="7"/>
        <v>1542</v>
      </c>
    </row>
    <row r="38" spans="1:8" ht="11.25">
      <c r="A38" s="3" t="s">
        <v>31</v>
      </c>
      <c r="B38" s="3"/>
      <c r="C38" s="9">
        <v>1081</v>
      </c>
      <c r="D38" s="9">
        <v>667</v>
      </c>
      <c r="E38" s="9">
        <v>427</v>
      </c>
      <c r="F38" s="9">
        <v>194</v>
      </c>
      <c r="G38" s="9">
        <v>2702</v>
      </c>
      <c r="H38" s="9">
        <v>1504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45</v>
      </c>
      <c r="D40" s="8">
        <v>25</v>
      </c>
      <c r="E40" s="8">
        <v>50</v>
      </c>
      <c r="F40" s="8">
        <v>109</v>
      </c>
      <c r="G40" s="8">
        <v>25</v>
      </c>
      <c r="H40" s="8">
        <v>0</v>
      </c>
    </row>
    <row r="41" spans="1:8" ht="11.25">
      <c r="A41" s="7" t="s">
        <v>34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35</v>
      </c>
      <c r="B42" s="7"/>
      <c r="C42" s="10">
        <f aca="true" t="shared" si="8" ref="C42:H42">C40/C11</f>
        <v>0.0005291254144815747</v>
      </c>
      <c r="D42" s="10">
        <f t="shared" si="8"/>
        <v>0.0002884903875002885</v>
      </c>
      <c r="E42" s="10">
        <f t="shared" si="8"/>
        <v>0.0005871990604815032</v>
      </c>
      <c r="F42" s="10">
        <f t="shared" si="8"/>
        <v>0.0013252763018711928</v>
      </c>
      <c r="G42" s="10">
        <f t="shared" si="8"/>
        <v>0.0003240146713843203</v>
      </c>
      <c r="H42" s="10">
        <f t="shared" si="8"/>
        <v>0</v>
      </c>
    </row>
    <row r="43" spans="1:8" ht="11.25">
      <c r="A43" s="7" t="s">
        <v>36</v>
      </c>
      <c r="B43" s="7"/>
      <c r="C43" s="10">
        <f aca="true" t="shared" si="9" ref="C43:H43">C41/C11</f>
        <v>0</v>
      </c>
      <c r="D43" s="10">
        <f t="shared" si="9"/>
        <v>0</v>
      </c>
      <c r="E43" s="10">
        <f t="shared" si="9"/>
        <v>0</v>
      </c>
      <c r="F43" s="10">
        <f t="shared" si="9"/>
        <v>0</v>
      </c>
      <c r="G43" s="10">
        <f t="shared" si="9"/>
        <v>0</v>
      </c>
      <c r="H43" s="10">
        <f t="shared" si="9"/>
        <v>0</v>
      </c>
    </row>
    <row r="44" spans="1:8" ht="11.25">
      <c r="A44" s="11" t="s">
        <v>37</v>
      </c>
      <c r="B44" s="7"/>
      <c r="C44" s="10">
        <f aca="true" t="shared" si="10" ref="C44:H44">(C40+C41)/C11</f>
        <v>0.0005291254144815747</v>
      </c>
      <c r="D44" s="10">
        <f t="shared" si="10"/>
        <v>0.0002884903875002885</v>
      </c>
      <c r="E44" s="10">
        <f t="shared" si="10"/>
        <v>0.0005871990604815032</v>
      </c>
      <c r="F44" s="10">
        <f t="shared" si="10"/>
        <v>0.0013252763018711928</v>
      </c>
      <c r="G44" s="10">
        <f t="shared" si="10"/>
        <v>0.0003240146713843203</v>
      </c>
      <c r="H44" s="10">
        <f t="shared" si="10"/>
        <v>0</v>
      </c>
    </row>
    <row r="45" spans="1:8" ht="11.25">
      <c r="A45" s="7" t="s">
        <v>38</v>
      </c>
      <c r="B45" s="7"/>
      <c r="C45" s="12">
        <v>0</v>
      </c>
      <c r="D45" s="12">
        <v>0</v>
      </c>
      <c r="E45" s="12">
        <v>0</v>
      </c>
      <c r="F45" s="12">
        <v>0</v>
      </c>
      <c r="G45" s="13">
        <f>-G432</f>
        <v>0</v>
      </c>
      <c r="H45" s="12">
        <v>0</v>
      </c>
    </row>
    <row r="46" spans="1:8" ht="11.25">
      <c r="A46" s="3" t="s">
        <v>39</v>
      </c>
      <c r="B46" s="3"/>
      <c r="C46" s="14"/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0.1333635119021331</v>
      </c>
      <c r="D48" s="10">
        <f t="shared" si="11"/>
        <v>0.13060230292294064</v>
      </c>
      <c r="E48" s="10">
        <f t="shared" si="11"/>
        <v>0.12971049470718318</v>
      </c>
      <c r="F48" s="10">
        <f t="shared" si="11"/>
        <v>0.1321311858076564</v>
      </c>
      <c r="G48" s="10">
        <f t="shared" si="11"/>
        <v>0.1494974562600819</v>
      </c>
      <c r="H48" s="10">
        <f t="shared" si="11"/>
        <v>0.15732044793025823</v>
      </c>
    </row>
    <row r="49" spans="1:8" ht="11.25">
      <c r="A49" s="3" t="s">
        <v>42</v>
      </c>
      <c r="B49" s="3"/>
      <c r="C49" s="15">
        <f aca="true" t="shared" si="12" ref="C49:H49">C23/C11</f>
        <v>0.14202901958939868</v>
      </c>
      <c r="D49" s="15">
        <f t="shared" si="12"/>
        <v>0.1361213044381361</v>
      </c>
      <c r="E49" s="15">
        <f t="shared" si="12"/>
        <v>0.1357017028772754</v>
      </c>
      <c r="F49" s="15">
        <f t="shared" si="12"/>
        <v>0.1376463579218695</v>
      </c>
      <c r="G49" s="15">
        <f t="shared" si="12"/>
        <v>0.15614915043353164</v>
      </c>
      <c r="H49" s="15">
        <f t="shared" si="12"/>
        <v>0.16521608191537418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6">
        <f aca="true" t="shared" si="13" ref="C51:H51">C10/C15</f>
        <v>0.21562345514697495</v>
      </c>
      <c r="D51" s="16">
        <f t="shared" si="13"/>
        <v>0.19739492675676204</v>
      </c>
      <c r="E51" s="16">
        <f t="shared" si="13"/>
        <v>0.13099824493814477</v>
      </c>
      <c r="F51" s="16">
        <f t="shared" si="13"/>
        <v>0.16042530070421784</v>
      </c>
      <c r="G51" s="16">
        <f t="shared" si="13"/>
        <v>0.23191078886556848</v>
      </c>
      <c r="H51" s="16">
        <f t="shared" si="13"/>
        <v>0.3120593692022263</v>
      </c>
    </row>
    <row r="52" spans="1:8" ht="11.25">
      <c r="A52" s="7" t="s">
        <v>45</v>
      </c>
      <c r="B52" s="7"/>
      <c r="C52" s="16">
        <f aca="true" t="shared" si="14" ref="C52:H52">C10/C9</f>
        <v>0.1884023059159703</v>
      </c>
      <c r="D52" s="16">
        <f t="shared" si="14"/>
        <v>0.17198456177420315</v>
      </c>
      <c r="E52" s="16">
        <f t="shared" si="14"/>
        <v>0.11354760910903947</v>
      </c>
      <c r="F52" s="16">
        <f t="shared" si="14"/>
        <v>0.13902301662773628</v>
      </c>
      <c r="G52" s="16">
        <f t="shared" si="14"/>
        <v>0.19979543752625523</v>
      </c>
      <c r="H52" s="16">
        <f t="shared" si="14"/>
        <v>0.2626284611162632</v>
      </c>
    </row>
    <row r="53" spans="1:8" ht="11.25">
      <c r="A53" s="3" t="s">
        <v>46</v>
      </c>
      <c r="B53" s="3"/>
      <c r="C53" s="17">
        <f aca="true" t="shared" si="15" ref="C53:H53">(C10+C14)/C15</f>
        <v>0.2681579647868578</v>
      </c>
      <c r="D53" s="17">
        <f t="shared" si="15"/>
        <v>0.23320490504781835</v>
      </c>
      <c r="E53" s="17">
        <f t="shared" si="15"/>
        <v>0.1730876246736013</v>
      </c>
      <c r="F53" s="17">
        <f t="shared" si="15"/>
        <v>0.1969998828079222</v>
      </c>
      <c r="G53" s="17">
        <f t="shared" si="15"/>
        <v>0.26830121478089425</v>
      </c>
      <c r="H53" s="17">
        <f t="shared" si="15"/>
        <v>0.3495361781076067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0.012631308351152708</v>
      </c>
      <c r="D55" s="10">
        <f>((D38)/0.75)/D26</f>
        <v>0.010568680578662991</v>
      </c>
      <c r="E55" s="10">
        <f>((E38)/0.5)/E26</f>
        <v>0.01059067177598373</v>
      </c>
      <c r="F55" s="10">
        <f>((F38)/0.25)/F26</f>
        <v>0.009911359746596163</v>
      </c>
      <c r="G55" s="10">
        <f>G38/G26</f>
        <v>0.0359468646271943</v>
      </c>
      <c r="H55" s="10">
        <f>H38/H26</f>
        <v>0.022860964598945113</v>
      </c>
    </row>
    <row r="56" spans="1:8" ht="11.25">
      <c r="A56" s="7" t="s">
        <v>49</v>
      </c>
      <c r="B56" s="7"/>
      <c r="C56" s="10">
        <f>(C38)/C25</f>
        <v>0.009404579621380846</v>
      </c>
      <c r="D56" s="10">
        <f>((D38)/0.75)/D25</f>
        <v>0.007998680877216651</v>
      </c>
      <c r="E56" s="10">
        <f>((E38)/0.5)/E25</f>
        <v>0.008209012611504153</v>
      </c>
      <c r="F56" s="10">
        <f>((F38)/0.25)/F25</f>
        <v>0.007449719195507128</v>
      </c>
      <c r="G56" s="10">
        <f>G38/G25</f>
        <v>0.025114325017659964</v>
      </c>
      <c r="H56" s="10">
        <f>H38/H25</f>
        <v>0.015341303194744787</v>
      </c>
    </row>
    <row r="57" spans="1:8" ht="11.25">
      <c r="A57" s="7" t="s">
        <v>50</v>
      </c>
      <c r="B57" s="7"/>
      <c r="C57" s="10">
        <f>(C38)/C29</f>
        <v>0.08960915157292659</v>
      </c>
      <c r="D57" s="10">
        <f>((D38)/0.75)/D29</f>
        <v>0.07744782141716741</v>
      </c>
      <c r="E57" s="10">
        <f>((E38)/0.5)/E29</f>
        <v>0.0766882183908046</v>
      </c>
      <c r="F57" s="10">
        <f>((F38)/0.25)/F29</f>
        <v>0.07138914443422263</v>
      </c>
      <c r="G57" s="10">
        <f>G38/G29</f>
        <v>0.23475238922675934</v>
      </c>
      <c r="H57" s="10">
        <f>H38/H29</f>
        <v>0.16688859298712827</v>
      </c>
    </row>
    <row r="58" spans="1:8" ht="11.25">
      <c r="A58" s="7" t="s">
        <v>51</v>
      </c>
      <c r="B58" s="7"/>
      <c r="C58" s="10">
        <f>(C31)/C25</f>
        <v>0.08745128062360802</v>
      </c>
      <c r="D58" s="10">
        <f>((D31)/0.75)/D25</f>
        <v>0.08652246256239601</v>
      </c>
      <c r="E58" s="10">
        <f>((E31)/0.5)/E25</f>
        <v>0.08772300830513688</v>
      </c>
      <c r="F58" s="10">
        <f>((F31)/0.25)/F25</f>
        <v>0.08605577689243028</v>
      </c>
      <c r="G58" s="10">
        <f>G31/G25</f>
        <v>0.09184109752016953</v>
      </c>
      <c r="H58" s="10">
        <f>H31/H25</f>
        <v>0.09761720184422049</v>
      </c>
    </row>
    <row r="59" spans="1:8" ht="11.25">
      <c r="A59" s="7" t="s">
        <v>52</v>
      </c>
      <c r="B59" s="7"/>
      <c r="C59" s="10">
        <f>(C32)/C25</f>
        <v>0.06293499443207128</v>
      </c>
      <c r="D59" s="10">
        <f>((D32)/0.75)/D25</f>
        <v>0.06325793347423962</v>
      </c>
      <c r="E59" s="10">
        <f>((E32)/0.5)/E25</f>
        <v>0.06588357428483543</v>
      </c>
      <c r="F59" s="10">
        <f>((F32)/0.25)/F25</f>
        <v>0.06485863773820381</v>
      </c>
      <c r="G59" s="10">
        <f>G32/G25</f>
        <v>0.05013570286649069</v>
      </c>
      <c r="H59" s="10">
        <f>H32/H25</f>
        <v>0.061375413113550124</v>
      </c>
    </row>
    <row r="60" spans="1:8" ht="11.25">
      <c r="A60" s="7" t="s">
        <v>53</v>
      </c>
      <c r="B60" s="7"/>
      <c r="C60" s="10">
        <f>(C33)/C25</f>
        <v>0.02451628619153675</v>
      </c>
      <c r="D60" s="10">
        <f>((D33)/0.75)/D25</f>
        <v>0.023264529088156374</v>
      </c>
      <c r="E60" s="10">
        <f>((E33)/0.5)/E25</f>
        <v>0.021839434020301446</v>
      </c>
      <c r="F60" s="10">
        <f>((F33)/0.25)/F25</f>
        <v>0.02119713915422647</v>
      </c>
      <c r="G60" s="10">
        <f>G33/G25</f>
        <v>0.04170539465367885</v>
      </c>
      <c r="H60" s="10">
        <f>H33/H25</f>
        <v>0.03624178873067037</v>
      </c>
    </row>
    <row r="61" spans="1:8" ht="11.25">
      <c r="A61" s="7" t="s">
        <v>54</v>
      </c>
      <c r="B61" s="7"/>
      <c r="C61" s="10">
        <f>(C36)/(C35)</f>
        <v>0.7152654305308611</v>
      </c>
      <c r="D61" s="10">
        <f>((D36)/0.75)/((D35)/0.75)</f>
        <v>0.750709219858156</v>
      </c>
      <c r="E61" s="10">
        <f>((E36)/0.5)/((E35)/0.5)</f>
        <v>0.7400576368876081</v>
      </c>
      <c r="F61" s="10">
        <f>(F36/0.25)/(F35/0.25)</f>
        <v>0.7637614678899083</v>
      </c>
      <c r="G61" s="10">
        <f>G36/G35</f>
        <v>0.51381707969335</v>
      </c>
      <c r="H61" s="10">
        <f>H36/H35</f>
        <v>0.6401400233372229</v>
      </c>
    </row>
    <row r="62" spans="1:8" ht="11.25">
      <c r="A62" s="3" t="s">
        <v>55</v>
      </c>
      <c r="B62" s="3"/>
      <c r="C62" s="15">
        <f>(C34)/C25</f>
        <v>0.009735175389755012</v>
      </c>
      <c r="D62" s="15">
        <f>((D34)/0.75)/D25</f>
        <v>0.010552982266792582</v>
      </c>
      <c r="E62" s="15">
        <f>((E34)/0.5)/E25</f>
        <v>0.011515687480775146</v>
      </c>
      <c r="F62" s="15">
        <f>(F34/0.255)/F25</f>
        <v>0.012047251579554686</v>
      </c>
      <c r="G62" s="15">
        <f>G34/G25</f>
        <v>0.010428672342640444</v>
      </c>
      <c r="H62" s="15">
        <f>H34/H25</f>
        <v>0.007466644905952915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101</v>
      </c>
      <c r="D64" s="8">
        <v>100</v>
      </c>
      <c r="E64" s="8">
        <v>104</v>
      </c>
      <c r="F64" s="8">
        <v>97</v>
      </c>
      <c r="G64" s="8">
        <v>106</v>
      </c>
      <c r="H64" s="8">
        <v>95</v>
      </c>
    </row>
    <row r="65" spans="1:8" ht="11.25">
      <c r="A65" s="7" t="s">
        <v>58</v>
      </c>
      <c r="B65" s="7"/>
      <c r="C65" s="8">
        <v>6</v>
      </c>
      <c r="D65" s="8">
        <v>6</v>
      </c>
      <c r="E65" s="8">
        <v>6</v>
      </c>
      <c r="F65" s="8">
        <v>6</v>
      </c>
      <c r="G65" s="8">
        <v>6</v>
      </c>
      <c r="H65" s="8">
        <v>6</v>
      </c>
    </row>
    <row r="66" spans="1:8" ht="11.25">
      <c r="A66" s="7" t="s">
        <v>59</v>
      </c>
      <c r="B66" s="7"/>
      <c r="C66" s="8">
        <f aca="true" t="shared" si="16" ref="C66:H66">C11/C64</f>
        <v>842.039603960396</v>
      </c>
      <c r="D66" s="8">
        <f t="shared" si="16"/>
        <v>866.58</v>
      </c>
      <c r="E66" s="8">
        <f t="shared" si="16"/>
        <v>818.75</v>
      </c>
      <c r="F66" s="8">
        <f t="shared" si="16"/>
        <v>847.9072164948453</v>
      </c>
      <c r="G66" s="8">
        <f t="shared" si="16"/>
        <v>727.8962264150944</v>
      </c>
      <c r="H66" s="8">
        <f t="shared" si="16"/>
        <v>699.0526315789474</v>
      </c>
    </row>
    <row r="67" spans="1:8" ht="11.25">
      <c r="A67" s="7" t="s">
        <v>60</v>
      </c>
      <c r="B67" s="7"/>
      <c r="C67" s="8">
        <f aca="true" t="shared" si="17" ref="C67:H67">C15/C64</f>
        <v>1041.4653465346535</v>
      </c>
      <c r="D67" s="8">
        <f t="shared" si="17"/>
        <v>1022.62</v>
      </c>
      <c r="E67" s="8">
        <f t="shared" si="17"/>
        <v>898.5</v>
      </c>
      <c r="F67" s="8">
        <f t="shared" si="17"/>
        <v>967.659793814433</v>
      </c>
      <c r="G67" s="8">
        <f t="shared" si="17"/>
        <v>889.9811320754717</v>
      </c>
      <c r="H67" s="8">
        <f t="shared" si="17"/>
        <v>936.1578947368421</v>
      </c>
    </row>
    <row r="68" spans="1:8" ht="11.25">
      <c r="A68" s="3" t="s">
        <v>61</v>
      </c>
      <c r="B68" s="3"/>
      <c r="C68" s="9">
        <f aca="true" t="shared" si="18" ref="C68:H68">C38/C64</f>
        <v>10.702970297029703</v>
      </c>
      <c r="D68" s="9">
        <f t="shared" si="18"/>
        <v>6.67</v>
      </c>
      <c r="E68" s="9">
        <f t="shared" si="18"/>
        <v>4.105769230769231</v>
      </c>
      <c r="F68" s="9">
        <f t="shared" si="18"/>
        <v>2</v>
      </c>
      <c r="G68" s="9">
        <f t="shared" si="18"/>
        <v>25.49056603773585</v>
      </c>
      <c r="H68" s="9">
        <f t="shared" si="18"/>
        <v>15.83157894736842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0.09939544483205787</v>
      </c>
      <c r="D70" s="10">
        <f>(D9-104998)/104998</f>
        <v>0.1178403398159965</v>
      </c>
      <c r="E70" s="10">
        <f>(E9-100259)/100259</f>
        <v>0.07526506348557237</v>
      </c>
      <c r="F70" s="10">
        <f>(F9-100018)/100018</f>
        <v>0.08293507168709632</v>
      </c>
      <c r="G70" s="10">
        <f>(G9-H9)/H9</f>
        <v>0.03622461532638113</v>
      </c>
      <c r="H70" s="10">
        <f>(H9-90399)/90399</f>
        <v>0.16897310810960298</v>
      </c>
    </row>
    <row r="71" spans="1:8" ht="11.25">
      <c r="A71" s="7" t="s">
        <v>64</v>
      </c>
      <c r="B71" s="7"/>
      <c r="C71" s="10">
        <f>C11/G11-1</f>
        <v>0.1022460697020362</v>
      </c>
      <c r="D71" s="10">
        <f>D11/74529-1</f>
        <v>0.16274201988487702</v>
      </c>
      <c r="E71" s="10">
        <f>E11/68746-1</f>
        <v>0.23861751956477462</v>
      </c>
      <c r="F71" s="10">
        <f>F11/67463-1</f>
        <v>0.21914234469264637</v>
      </c>
      <c r="G71" s="10">
        <f>G11/H11-1</f>
        <v>0.16182803794609235</v>
      </c>
      <c r="H71" s="10">
        <f>H11/59945-1</f>
        <v>0.10784886145633488</v>
      </c>
    </row>
    <row r="72" spans="1:8" ht="11.25">
      <c r="A72" s="7"/>
      <c r="B72" s="7" t="s">
        <v>13</v>
      </c>
      <c r="C72" s="10">
        <f>(C12-G12)/G12</f>
        <v>0.10212340938866045</v>
      </c>
      <c r="D72" s="10">
        <f>D12/74471-1</f>
        <v>0.16251963851700668</v>
      </c>
      <c r="E72" s="10">
        <f>E12/68683-1</f>
        <v>0.23844328290843442</v>
      </c>
      <c r="F72" s="10">
        <f>F12/67395-1</f>
        <v>0.21949699532606282</v>
      </c>
      <c r="G72" s="10">
        <f>(G12-H12)/H12</f>
        <v>0.1622118704114091</v>
      </c>
      <c r="H72" s="10">
        <f>(H12-59922)/59922</f>
        <v>0.10698908581155502</v>
      </c>
    </row>
    <row r="73" spans="1:8" ht="11.25">
      <c r="A73" s="7"/>
      <c r="B73" s="7" t="s">
        <v>14</v>
      </c>
      <c r="C73" s="10">
        <f>(C13-G13)/G13</f>
        <v>0.25</v>
      </c>
      <c r="D73" s="10">
        <f>D13/58-1</f>
        <v>0.4482758620689655</v>
      </c>
      <c r="E73" s="10">
        <f>E13/63-1</f>
        <v>0.4285714285714286</v>
      </c>
      <c r="F73" s="10">
        <f>F13/68-1</f>
        <v>-0.13235294117647056</v>
      </c>
      <c r="G73" s="10">
        <f>(G13-H13)/H13</f>
        <v>-0.16883116883116883</v>
      </c>
      <c r="H73" s="10">
        <f>(H13-23)/23</f>
        <v>2.347826086956522</v>
      </c>
    </row>
    <row r="74" spans="1:8" ht="11.25">
      <c r="A74" s="7" t="s">
        <v>65</v>
      </c>
      <c r="B74" s="7"/>
      <c r="C74" s="10">
        <f>C15/G15-1</f>
        <v>0.11501197820602505</v>
      </c>
      <c r="D74" s="10">
        <f>D15/90197-1</f>
        <v>0.13376276372828366</v>
      </c>
      <c r="E74" s="10">
        <f>E15/83339-1</f>
        <v>0.1212517548806682</v>
      </c>
      <c r="F74" s="10">
        <f>F15/84062-1</f>
        <v>0.11659251504841661</v>
      </c>
      <c r="G74" s="10">
        <f>G15/H15-1</f>
        <v>0.06075223477820879</v>
      </c>
      <c r="H74" s="10">
        <f>H15/75789-1</f>
        <v>0.17345525076198398</v>
      </c>
    </row>
    <row r="75" spans="1:8" ht="11.25">
      <c r="A75" s="7"/>
      <c r="B75" s="7" t="s">
        <v>13</v>
      </c>
      <c r="C75" s="10">
        <f>(C16-G16)/G16</f>
        <v>0.07421062276985436</v>
      </c>
      <c r="D75" s="10">
        <f>D16/88636-1</f>
        <v>0.08657881673360701</v>
      </c>
      <c r="E75" s="10">
        <f>E16/81791-1</f>
        <v>0.06988543971830641</v>
      </c>
      <c r="F75" s="10">
        <f>F16/82244-1</f>
        <v>0.07081367637760816</v>
      </c>
      <c r="G75" s="10">
        <f>(G16-H16)/H16</f>
        <v>0.06421081614390932</v>
      </c>
      <c r="H75" s="10">
        <f>(H16-74632)/74632</f>
        <v>0.16794404544967306</v>
      </c>
    </row>
    <row r="76" spans="1:8" ht="11.25">
      <c r="A76" s="7"/>
      <c r="B76" s="7" t="s">
        <v>14</v>
      </c>
      <c r="C76" s="10">
        <f>(C20-G20)/G20</f>
        <v>2.518095238095238</v>
      </c>
      <c r="D76" s="10">
        <f>D20/1562-1</f>
        <v>2.8104993597951347</v>
      </c>
      <c r="E76" s="10">
        <f>E20/1548-1</f>
        <v>2.8352713178294575</v>
      </c>
      <c r="F76" s="10">
        <f>F20/1818-1</f>
        <v>2.1875687568756876</v>
      </c>
      <c r="G76" s="10">
        <f>(G20-H20)/H20</f>
        <v>-0.10966647823629169</v>
      </c>
      <c r="H76" s="10">
        <f>(H20-1158)/1158</f>
        <v>0.5276338514680483</v>
      </c>
    </row>
    <row r="77" spans="1:8" ht="11.25">
      <c r="A77" s="7" t="s">
        <v>66</v>
      </c>
      <c r="B77" s="7"/>
      <c r="C77" s="10">
        <f>(C23-G23)/G23</f>
        <v>0.0025730411686586984</v>
      </c>
      <c r="D77" s="10">
        <f>(D23-10097)/10097</f>
        <v>0.16826780231752006</v>
      </c>
      <c r="E77" s="10">
        <f>(E23-10717)/10717</f>
        <v>0.07819352430717552</v>
      </c>
      <c r="F77" s="10">
        <f>(F23-10419)/10419</f>
        <v>0.08657260773586717</v>
      </c>
      <c r="G77" s="10">
        <f>(G23-H23)/H23</f>
        <v>0.0980678089682829</v>
      </c>
      <c r="H77" s="10">
        <f>(H23-7052)/7052</f>
        <v>0.5558706749858197</v>
      </c>
    </row>
    <row r="78" spans="1:8" ht="11.25">
      <c r="A78" s="3" t="s">
        <v>67</v>
      </c>
      <c r="B78" s="3"/>
      <c r="C78" s="15">
        <f>C38/G38-1</f>
        <v>-0.5999259807549964</v>
      </c>
      <c r="D78" s="15">
        <f>D38/2050-1</f>
        <v>-0.6746341463414633</v>
      </c>
      <c r="E78" s="15">
        <f>E38/1057-1</f>
        <v>-0.5960264900662251</v>
      </c>
      <c r="F78" s="15">
        <f>F38/271-1</f>
        <v>-0.2841328413284133</v>
      </c>
      <c r="G78" s="15">
        <f>(G38-H38)/H38</f>
        <v>0.7965425531914894</v>
      </c>
      <c r="H78" s="15">
        <f>(H38-1092)/1092</f>
        <v>0.3772893772893773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2002-05-02T19:21:34Z</cp:lastPrinted>
  <dcterms:created xsi:type="dcterms:W3CDTF">2002-03-08T15:16:31Z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