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ower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<sst xmlns="http://schemas.openxmlformats.org/spreadsheetml/2006/main" count="80" uniqueCount="68">
  <si>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18-12    TOWERBANK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</si>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</sst>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3.00390625" style="1" customWidth="1"/>
    <col min="2" max="2" width="35.7109375" style="1" customWidth="1"/>
    <col min="3" max="3" width="10.57421875" style="1" customWidth="1"/>
    <col min="4" max="6" width="9.8515625" style="1" customWidth="1"/>
    <col min="7" max="7" width="11.7109375" style="1" customWidth="1"/>
    <col min="8" max="8" width="11.5742187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278706</v>
      </c>
      <c r="D9" s="8">
        <v>284465</v>
      </c>
      <c r="E9" s="8">
        <v>272355</v>
      </c>
      <c r="F9" s="8">
        <v>274599</v>
      </c>
      <c r="G9" s="8">
        <v>274516</v>
      </c>
      <c r="H9" s="8">
        <v>260956</v>
      </c>
    </row>
    <row r="10" spans="1:8" ht="11.25">
      <c r="A10" s="7" t="s">
        <v>11</v>
      </c>
      <c r="B10" s="7"/>
      <c r="C10" s="8">
        <v>53615</v>
      </c>
      <c r="D10" s="8">
        <v>39100</v>
      </c>
      <c r="E10" s="8">
        <v>33358</v>
      </c>
      <c r="F10" s="8">
        <v>31086</v>
      </c>
      <c r="G10" s="8">
        <v>46923</v>
      </c>
      <c r="H10" s="8">
        <v>59350</v>
      </c>
    </row>
    <row r="11" spans="1:8" ht="11.25">
      <c r="A11" s="7" t="s">
        <v>12</v>
      </c>
      <c r="B11" s="7"/>
      <c r="C11" s="8">
        <f aca="true" t="shared" si="0" ref="C11:H11">C12+C13</f>
        <v>149928</v>
      </c>
      <c r="D11" s="8">
        <f t="shared" si="0"/>
        <v>163317</v>
      </c>
      <c r="E11" s="8">
        <f t="shared" si="0"/>
        <v>151627</v>
      </c>
      <c r="F11" s="8">
        <f t="shared" si="0"/>
        <v>154825</v>
      </c>
      <c r="G11" s="8">
        <f t="shared" si="0"/>
        <v>138768</v>
      </c>
      <c r="H11" s="8">
        <f t="shared" si="0"/>
        <v>133616</v>
      </c>
    </row>
    <row r="12" spans="1:8" ht="11.25">
      <c r="A12" s="7"/>
      <c r="B12" s="7" t="s">
        <v>13</v>
      </c>
      <c r="C12" s="8">
        <v>93313</v>
      </c>
      <c r="D12" s="8">
        <v>101997</v>
      </c>
      <c r="E12" s="8">
        <v>91604</v>
      </c>
      <c r="F12" s="8">
        <v>89519</v>
      </c>
      <c r="G12" s="8">
        <v>94063</v>
      </c>
      <c r="H12" s="8">
        <v>109132</v>
      </c>
    </row>
    <row r="13" spans="1:8" ht="11.25">
      <c r="A13" s="7"/>
      <c r="B13" s="7" t="s">
        <v>14</v>
      </c>
      <c r="C13" s="8">
        <v>56615</v>
      </c>
      <c r="D13" s="8">
        <v>61320</v>
      </c>
      <c r="E13" s="8">
        <v>60023</v>
      </c>
      <c r="F13" s="8">
        <v>65306</v>
      </c>
      <c r="G13" s="8">
        <v>44705</v>
      </c>
      <c r="H13" s="8">
        <v>24484</v>
      </c>
    </row>
    <row r="14" spans="1:8" ht="11.25">
      <c r="A14" s="7" t="s">
        <v>15</v>
      </c>
      <c r="B14" s="7"/>
      <c r="C14" s="8">
        <v>65369</v>
      </c>
      <c r="D14" s="8">
        <v>68050</v>
      </c>
      <c r="E14" s="8">
        <v>75569</v>
      </c>
      <c r="F14" s="8">
        <v>77464</v>
      </c>
      <c r="G14" s="8">
        <v>80128</v>
      </c>
      <c r="H14" s="8">
        <v>53818</v>
      </c>
    </row>
    <row r="15" spans="1:8" ht="11.25">
      <c r="A15" s="7" t="s">
        <v>16</v>
      </c>
      <c r="B15" s="7"/>
      <c r="C15" s="8">
        <f aca="true" t="shared" si="1" ref="C15:H15">C16+C20</f>
        <v>203933</v>
      </c>
      <c r="D15" s="8">
        <f t="shared" si="1"/>
        <v>197829</v>
      </c>
      <c r="E15" s="8">
        <f t="shared" si="1"/>
        <v>186682</v>
      </c>
      <c r="F15" s="8">
        <f t="shared" si="1"/>
        <v>185201</v>
      </c>
      <c r="G15" s="8">
        <f t="shared" si="1"/>
        <v>185955</v>
      </c>
      <c r="H15" s="8">
        <f t="shared" si="1"/>
        <v>180133</v>
      </c>
    </row>
    <row r="16" spans="1:8" ht="11.25">
      <c r="A16" s="7"/>
      <c r="B16" s="7" t="s">
        <v>13</v>
      </c>
      <c r="C16" s="8">
        <f aca="true" t="shared" si="2" ref="C16:H16">SUM(C17:C19)</f>
        <v>131388</v>
      </c>
      <c r="D16" s="8">
        <f t="shared" si="2"/>
        <v>134185</v>
      </c>
      <c r="E16" s="8">
        <f t="shared" si="2"/>
        <v>129993</v>
      </c>
      <c r="F16" s="8">
        <f t="shared" si="2"/>
        <v>113488</v>
      </c>
      <c r="G16" s="8">
        <f t="shared" si="2"/>
        <v>119413</v>
      </c>
      <c r="H16" s="8">
        <f t="shared" si="2"/>
        <v>99742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91618</v>
      </c>
      <c r="D18" s="8">
        <v>95592</v>
      </c>
      <c r="E18" s="8">
        <v>96885</v>
      </c>
      <c r="F18" s="8">
        <v>82034</v>
      </c>
      <c r="G18" s="8">
        <v>90730</v>
      </c>
      <c r="H18" s="8">
        <v>80527</v>
      </c>
    </row>
    <row r="19" spans="1:8" ht="11.25">
      <c r="A19" s="7"/>
      <c r="B19" s="7" t="s">
        <v>19</v>
      </c>
      <c r="C19" s="8">
        <v>39770</v>
      </c>
      <c r="D19" s="8">
        <v>38593</v>
      </c>
      <c r="E19" s="8">
        <v>33108</v>
      </c>
      <c r="F19" s="8">
        <v>31454</v>
      </c>
      <c r="G19" s="8">
        <v>28683</v>
      </c>
      <c r="H19" s="8">
        <v>19215</v>
      </c>
    </row>
    <row r="20" spans="1:8" ht="11.25">
      <c r="A20" s="7"/>
      <c r="B20" s="7" t="s">
        <v>14</v>
      </c>
      <c r="C20" s="8">
        <f aca="true" t="shared" si="3" ref="C20:H20">SUM(C21:C22)</f>
        <v>72545</v>
      </c>
      <c r="D20" s="8">
        <f t="shared" si="3"/>
        <v>63644</v>
      </c>
      <c r="E20" s="8">
        <f t="shared" si="3"/>
        <v>56689</v>
      </c>
      <c r="F20" s="8">
        <f t="shared" si="3"/>
        <v>71713</v>
      </c>
      <c r="G20" s="8">
        <f t="shared" si="3"/>
        <v>66542</v>
      </c>
      <c r="H20" s="8">
        <f t="shared" si="3"/>
        <v>80391</v>
      </c>
    </row>
    <row r="21" spans="1:8" ht="11.25">
      <c r="A21" s="7"/>
      <c r="B21" s="7" t="s">
        <v>18</v>
      </c>
      <c r="C21" s="8">
        <v>17948</v>
      </c>
      <c r="D21" s="8">
        <v>18026</v>
      </c>
      <c r="E21" s="8">
        <v>15107</v>
      </c>
      <c r="F21" s="8">
        <v>22239</v>
      </c>
      <c r="G21" s="8">
        <v>17397</v>
      </c>
      <c r="H21" s="8">
        <v>13975</v>
      </c>
    </row>
    <row r="22" spans="1:8" ht="11.25">
      <c r="A22" s="7"/>
      <c r="B22" s="7" t="s">
        <v>19</v>
      </c>
      <c r="C22" s="8">
        <v>54597</v>
      </c>
      <c r="D22" s="8">
        <v>45618</v>
      </c>
      <c r="E22" s="8">
        <v>41582</v>
      </c>
      <c r="F22" s="8">
        <v>49474</v>
      </c>
      <c r="G22" s="8">
        <v>49145</v>
      </c>
      <c r="H22" s="8">
        <v>66416</v>
      </c>
    </row>
    <row r="23" spans="1:8" ht="11.25">
      <c r="A23" s="3" t="s">
        <v>20</v>
      </c>
      <c r="B23" s="3"/>
      <c r="C23" s="9">
        <v>32676</v>
      </c>
      <c r="D23" s="9">
        <v>32084</v>
      </c>
      <c r="E23" s="9">
        <v>31489</v>
      </c>
      <c r="F23" s="9">
        <v>31455</v>
      </c>
      <c r="G23" s="9">
        <v>32941</v>
      </c>
      <c r="H23" s="9">
        <v>23046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276611</v>
      </c>
      <c r="D25" s="8">
        <v>263788</v>
      </c>
      <c r="E25" s="8">
        <v>262128</v>
      </c>
      <c r="F25" s="8">
        <v>251231</v>
      </c>
      <c r="G25" s="8">
        <f>(G9+H9)/2</f>
        <v>267736</v>
      </c>
      <c r="H25" s="8">
        <v>251806</v>
      </c>
    </row>
    <row r="26" spans="1:8" ht="11.25">
      <c r="A26" s="7" t="s">
        <v>22</v>
      </c>
      <c r="B26" s="7"/>
      <c r="C26" s="8">
        <f aca="true" t="shared" si="4" ref="C26:H26">C27+C28</f>
        <v>217096.5</v>
      </c>
      <c r="D26" s="8">
        <f t="shared" si="4"/>
        <v>220088</v>
      </c>
      <c r="E26" s="8">
        <f t="shared" si="4"/>
        <v>217593</v>
      </c>
      <c r="F26" s="8">
        <f t="shared" si="4"/>
        <v>210810</v>
      </c>
      <c r="G26" s="8">
        <f t="shared" si="4"/>
        <v>203165</v>
      </c>
      <c r="H26" s="8">
        <f t="shared" si="4"/>
        <v>187170</v>
      </c>
    </row>
    <row r="27" spans="1:8" ht="11.25">
      <c r="A27" s="7"/>
      <c r="B27" s="7" t="s">
        <v>12</v>
      </c>
      <c r="C27" s="8">
        <f>+(C11+G11)/2</f>
        <v>144348</v>
      </c>
      <c r="D27" s="8">
        <v>153319</v>
      </c>
      <c r="E27" s="8">
        <v>150967</v>
      </c>
      <c r="F27" s="8">
        <v>148734</v>
      </c>
      <c r="G27" s="8">
        <f>(G11+H11)/2</f>
        <v>136192</v>
      </c>
      <c r="H27" s="8">
        <v>151107</v>
      </c>
    </row>
    <row r="28" spans="1:8" ht="11.25">
      <c r="A28" s="7"/>
      <c r="B28" s="7" t="s">
        <v>15</v>
      </c>
      <c r="C28" s="8">
        <f>+(C14+G14)/2</f>
        <v>72748.5</v>
      </c>
      <c r="D28" s="8">
        <v>66769</v>
      </c>
      <c r="E28" s="8">
        <v>66626</v>
      </c>
      <c r="F28" s="8">
        <v>62076</v>
      </c>
      <c r="G28" s="8">
        <f>(G14+H14)/2</f>
        <v>66973</v>
      </c>
      <c r="H28" s="8">
        <v>36063</v>
      </c>
    </row>
    <row r="29" spans="1:8" ht="11.25">
      <c r="A29" s="3" t="s">
        <v>20</v>
      </c>
      <c r="B29" s="3"/>
      <c r="C29" s="9">
        <f>+(C23+G23)/2</f>
        <v>32808.5</v>
      </c>
      <c r="D29" s="9">
        <v>32458</v>
      </c>
      <c r="E29" s="9">
        <v>30413</v>
      </c>
      <c r="F29" s="9">
        <v>27065</v>
      </c>
      <c r="G29" s="9">
        <f>(G23+H23)/2</f>
        <v>27993.5</v>
      </c>
      <c r="H29" s="9">
        <v>22152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21880</v>
      </c>
      <c r="D31" s="8">
        <v>15700</v>
      </c>
      <c r="E31" s="8">
        <v>9105</v>
      </c>
      <c r="F31" s="8">
        <v>4469</v>
      </c>
      <c r="G31" s="8">
        <v>19220</v>
      </c>
      <c r="H31" s="8">
        <v>21591</v>
      </c>
    </row>
    <row r="32" spans="1:8" ht="11.25">
      <c r="A32" s="7" t="s">
        <v>25</v>
      </c>
      <c r="B32" s="7"/>
      <c r="C32" s="8">
        <v>14053</v>
      </c>
      <c r="D32" s="8">
        <v>10347</v>
      </c>
      <c r="E32" s="8">
        <v>6792</v>
      </c>
      <c r="F32" s="8">
        <v>3314</v>
      </c>
      <c r="G32" s="8">
        <v>13326</v>
      </c>
      <c r="H32" s="8">
        <v>16766</v>
      </c>
    </row>
    <row r="33" spans="1:8" ht="11.25">
      <c r="A33" s="7" t="s">
        <v>26</v>
      </c>
      <c r="B33" s="7"/>
      <c r="C33" s="8">
        <f aca="true" t="shared" si="5" ref="C33:H33">C31-C32</f>
        <v>7827</v>
      </c>
      <c r="D33" s="8">
        <f t="shared" si="5"/>
        <v>5353</v>
      </c>
      <c r="E33" s="8">
        <f t="shared" si="5"/>
        <v>2313</v>
      </c>
      <c r="F33" s="8">
        <f t="shared" si="5"/>
        <v>1155</v>
      </c>
      <c r="G33" s="8">
        <f t="shared" si="5"/>
        <v>5894</v>
      </c>
      <c r="H33" s="8">
        <f t="shared" si="5"/>
        <v>4825</v>
      </c>
    </row>
    <row r="34" spans="1:8" ht="11.25">
      <c r="A34" s="7" t="s">
        <v>27</v>
      </c>
      <c r="B34" s="7"/>
      <c r="C34" s="8">
        <v>2252</v>
      </c>
      <c r="D34" s="8">
        <v>1245</v>
      </c>
      <c r="E34" s="8">
        <v>787</v>
      </c>
      <c r="F34" s="8">
        <v>431</v>
      </c>
      <c r="G34" s="8">
        <v>1581</v>
      </c>
      <c r="H34" s="8">
        <v>2222</v>
      </c>
    </row>
    <row r="35" spans="1:8" ht="11.25">
      <c r="A35" s="7" t="s">
        <v>28</v>
      </c>
      <c r="B35" s="7"/>
      <c r="C35" s="8">
        <f aca="true" t="shared" si="6" ref="C35:H35">C33+C34</f>
        <v>10079</v>
      </c>
      <c r="D35" s="8">
        <f t="shared" si="6"/>
        <v>6598</v>
      </c>
      <c r="E35" s="8">
        <f t="shared" si="6"/>
        <v>3100</v>
      </c>
      <c r="F35" s="8">
        <f t="shared" si="6"/>
        <v>1586</v>
      </c>
      <c r="G35" s="8">
        <f t="shared" si="6"/>
        <v>7475</v>
      </c>
      <c r="H35" s="8">
        <f t="shared" si="6"/>
        <v>7047</v>
      </c>
    </row>
    <row r="36" spans="1:8" ht="11.25">
      <c r="A36" s="7" t="s">
        <v>29</v>
      </c>
      <c r="B36" s="7"/>
      <c r="C36" s="8">
        <v>6043</v>
      </c>
      <c r="D36" s="8">
        <v>4930</v>
      </c>
      <c r="E36" s="8">
        <v>2501</v>
      </c>
      <c r="F36" s="8">
        <v>1214</v>
      </c>
      <c r="G36" s="8">
        <v>4712</v>
      </c>
      <c r="H36" s="8">
        <v>4156</v>
      </c>
    </row>
    <row r="37" spans="1:8" ht="11.25">
      <c r="A37" s="7" t="s">
        <v>30</v>
      </c>
      <c r="B37" s="7"/>
      <c r="C37" s="8">
        <f aca="true" t="shared" si="7" ref="C37:H37">C35-C36</f>
        <v>4036</v>
      </c>
      <c r="D37" s="8">
        <f t="shared" si="7"/>
        <v>1668</v>
      </c>
      <c r="E37" s="8">
        <f t="shared" si="7"/>
        <v>599</v>
      </c>
      <c r="F37" s="8">
        <f t="shared" si="7"/>
        <v>372</v>
      </c>
      <c r="G37" s="8">
        <f t="shared" si="7"/>
        <v>2763</v>
      </c>
      <c r="H37" s="8">
        <f t="shared" si="7"/>
        <v>2891</v>
      </c>
    </row>
    <row r="38" spans="1:8" ht="11.25">
      <c r="A38" s="3" t="s">
        <v>31</v>
      </c>
      <c r="B38" s="3"/>
      <c r="C38" s="9">
        <v>932</v>
      </c>
      <c r="D38" s="9">
        <v>340</v>
      </c>
      <c r="E38" s="9">
        <v>47</v>
      </c>
      <c r="F38" s="9">
        <v>96</v>
      </c>
      <c r="G38" s="9">
        <v>1671</v>
      </c>
      <c r="H38" s="9">
        <v>1138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3716</v>
      </c>
      <c r="D41" s="8">
        <v>7159</v>
      </c>
      <c r="E41" s="8">
        <v>5257</v>
      </c>
      <c r="F41" s="8">
        <v>4170</v>
      </c>
      <c r="G41" s="8">
        <v>3159</v>
      </c>
      <c r="H41" s="8">
        <v>1670</v>
      </c>
    </row>
    <row r="42" spans="1:8" ht="11.25">
      <c r="A42" s="7" t="s">
        <v>35</v>
      </c>
      <c r="B42" s="7"/>
      <c r="C42" s="10">
        <f aca="true" t="shared" si="8" ref="C42:H42">C40/C11</f>
        <v>0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</row>
    <row r="43" spans="1:8" ht="11.25">
      <c r="A43" s="7" t="s">
        <v>36</v>
      </c>
      <c r="B43" s="7"/>
      <c r="C43" s="10">
        <f aca="true" t="shared" si="9" ref="C43:H43">C41/C11</f>
        <v>0.024785230243850383</v>
      </c>
      <c r="D43" s="10">
        <f t="shared" si="9"/>
        <v>0.04383499574447241</v>
      </c>
      <c r="E43" s="10">
        <f t="shared" si="9"/>
        <v>0.03467060615853377</v>
      </c>
      <c r="F43" s="10">
        <f t="shared" si="9"/>
        <v>0.02693363474891006</v>
      </c>
      <c r="G43" s="10">
        <f t="shared" si="9"/>
        <v>0.022764614320304393</v>
      </c>
      <c r="H43" s="10">
        <f t="shared" si="9"/>
        <v>0.012498503173272661</v>
      </c>
    </row>
    <row r="44" spans="1:8" ht="11.25">
      <c r="A44" s="11" t="s">
        <v>37</v>
      </c>
      <c r="B44" s="7"/>
      <c r="C44" s="10">
        <f aca="true" t="shared" si="10" ref="C44:H44">(C40+C41)/C11</f>
        <v>0.024785230243850383</v>
      </c>
      <c r="D44" s="10">
        <f t="shared" si="10"/>
        <v>0.04383499574447241</v>
      </c>
      <c r="E44" s="10">
        <f t="shared" si="10"/>
        <v>0.03467060615853377</v>
      </c>
      <c r="F44" s="10">
        <f t="shared" si="10"/>
        <v>0.02693363474891006</v>
      </c>
      <c r="G44" s="10">
        <f t="shared" si="10"/>
        <v>0.022764614320304393</v>
      </c>
      <c r="H44" s="10">
        <f t="shared" si="10"/>
        <v>0.012498503173272661</v>
      </c>
    </row>
    <row r="45" spans="1:8" ht="11.25">
      <c r="A45" s="7" t="s">
        <v>38</v>
      </c>
      <c r="B45" s="7"/>
      <c r="C45" s="10">
        <v>0.0147</v>
      </c>
      <c r="D45" s="10">
        <v>0.0103</v>
      </c>
      <c r="E45" s="10">
        <v>0.006</v>
      </c>
      <c r="F45" s="10">
        <v>0.0056</v>
      </c>
      <c r="G45" s="10">
        <v>0.0042</v>
      </c>
      <c r="H45" s="10">
        <v>0.0028</v>
      </c>
    </row>
    <row r="46" spans="1:8" ht="11.25">
      <c r="A46" s="3" t="s">
        <v>39</v>
      </c>
      <c r="B46" s="3"/>
      <c r="C46" s="12">
        <v>0.5931</v>
      </c>
      <c r="D46" s="12">
        <v>0.2342</v>
      </c>
      <c r="E46" s="12">
        <v>0.1718</v>
      </c>
      <c r="F46" s="12">
        <v>0.2071</v>
      </c>
      <c r="G46" s="12">
        <v>0.184</v>
      </c>
      <c r="H46" s="12">
        <v>0.2242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0.15177173857508466</v>
      </c>
      <c r="D48" s="10">
        <f t="shared" si="11"/>
        <v>0.13867146135792918</v>
      </c>
      <c r="E48" s="10">
        <f t="shared" si="11"/>
        <v>0.13859839081673972</v>
      </c>
      <c r="F48" s="10">
        <f t="shared" si="11"/>
        <v>0.13541321371222917</v>
      </c>
      <c r="G48" s="10">
        <f t="shared" si="11"/>
        <v>0.1504869892551714</v>
      </c>
      <c r="H48" s="10">
        <f t="shared" si="11"/>
        <v>0.12295528025865105</v>
      </c>
    </row>
    <row r="49" spans="1:8" ht="11.25">
      <c r="A49" s="3" t="s">
        <v>42</v>
      </c>
      <c r="B49" s="3"/>
      <c r="C49" s="12">
        <f aca="true" t="shared" si="12" ref="C49:H49">C23/C11</f>
        <v>0.21794461341443894</v>
      </c>
      <c r="D49" s="12">
        <f t="shared" si="12"/>
        <v>0.1964522982910536</v>
      </c>
      <c r="E49" s="12">
        <f t="shared" si="12"/>
        <v>0.20767409498308348</v>
      </c>
      <c r="F49" s="12">
        <f t="shared" si="12"/>
        <v>0.20316486355562732</v>
      </c>
      <c r="G49" s="12">
        <f t="shared" si="12"/>
        <v>0.23738181713363313</v>
      </c>
      <c r="H49" s="12">
        <f t="shared" si="12"/>
        <v>0.17247934379116273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0.2629049736923401</v>
      </c>
      <c r="D51" s="13">
        <f t="shared" si="13"/>
        <v>0.19764544126493083</v>
      </c>
      <c r="E51" s="13">
        <f t="shared" si="13"/>
        <v>0.17868889341232685</v>
      </c>
      <c r="F51" s="13">
        <f t="shared" si="13"/>
        <v>0.16785006560439739</v>
      </c>
      <c r="G51" s="13">
        <f t="shared" si="13"/>
        <v>0.2523352423973542</v>
      </c>
      <c r="H51" s="13">
        <f t="shared" si="13"/>
        <v>0.32947877401697634</v>
      </c>
    </row>
    <row r="52" spans="1:8" ht="11.25">
      <c r="A52" s="7" t="s">
        <v>45</v>
      </c>
      <c r="B52" s="7"/>
      <c r="C52" s="13">
        <f aca="true" t="shared" si="14" ref="C52:H52">C10/C9</f>
        <v>0.1923711724900074</v>
      </c>
      <c r="D52" s="13">
        <f t="shared" si="14"/>
        <v>0.13745100451725167</v>
      </c>
      <c r="E52" s="13">
        <f t="shared" si="14"/>
        <v>0.12247985166418829</v>
      </c>
      <c r="F52" s="13">
        <f t="shared" si="14"/>
        <v>0.11320507358002033</v>
      </c>
      <c r="G52" s="13">
        <f t="shared" si="14"/>
        <v>0.17092992758163458</v>
      </c>
      <c r="H52" s="13">
        <f t="shared" si="14"/>
        <v>0.22743297720688546</v>
      </c>
    </row>
    <row r="53" spans="1:8" ht="11.25">
      <c r="A53" s="3" t="s">
        <v>46</v>
      </c>
      <c r="B53" s="3"/>
      <c r="C53" s="14">
        <f aca="true" t="shared" si="15" ref="C53:H53">(C10+C14)/C15</f>
        <v>0.5834465241035046</v>
      </c>
      <c r="D53" s="14">
        <f t="shared" si="15"/>
        <v>0.5416293869958398</v>
      </c>
      <c r="E53" s="14">
        <f t="shared" si="15"/>
        <v>0.5834895704995661</v>
      </c>
      <c r="F53" s="14">
        <f t="shared" si="15"/>
        <v>0.5861199453566666</v>
      </c>
      <c r="G53" s="14">
        <f t="shared" si="15"/>
        <v>0.6832351913097254</v>
      </c>
      <c r="H53" s="14">
        <f t="shared" si="15"/>
        <v>0.6282469064524546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0.004293021766817982</v>
      </c>
      <c r="D55" s="10">
        <f>((D38)/0.75)/D26</f>
        <v>0.002059782147746962</v>
      </c>
      <c r="E55" s="10">
        <f>((E38)/0.5)/E26</f>
        <v>0.00043199919115045063</v>
      </c>
      <c r="F55" s="10">
        <f>((F38)/0.25)/F26</f>
        <v>0.0018215454674825673</v>
      </c>
      <c r="G55" s="10">
        <f>G38/G26</f>
        <v>0.008224841877291856</v>
      </c>
      <c r="H55" s="10">
        <f>H38/H26</f>
        <v>0.006080034193513918</v>
      </c>
    </row>
    <row r="56" spans="1:8" ht="11.25">
      <c r="A56" s="7" t="s">
        <v>49</v>
      </c>
      <c r="B56" s="7"/>
      <c r="C56" s="10">
        <f>(C38)/C25</f>
        <v>0.0033693526287819357</v>
      </c>
      <c r="D56" s="10">
        <f>((D38)/0.75)/D25</f>
        <v>0.0017185517663173963</v>
      </c>
      <c r="E56" s="10">
        <f>((E38)/0.5)/E25</f>
        <v>0.00035860343038515534</v>
      </c>
      <c r="F56" s="10">
        <f>((F38)/0.25)/F25</f>
        <v>0.0015284737950332563</v>
      </c>
      <c r="G56" s="10">
        <f>G38/G25</f>
        <v>0.00624122269698509</v>
      </c>
      <c r="H56" s="10">
        <f>H38/H25</f>
        <v>0.0045193521997093</v>
      </c>
    </row>
    <row r="57" spans="1:8" ht="11.25">
      <c r="A57" s="7" t="s">
        <v>50</v>
      </c>
      <c r="B57" s="7"/>
      <c r="C57" s="10">
        <f>(C38)/C29</f>
        <v>0.028407272505600684</v>
      </c>
      <c r="D57" s="10">
        <f>((D38)/0.75)/D29</f>
        <v>0.01396676730954875</v>
      </c>
      <c r="E57" s="10">
        <f>((E38)/0.5)/E29</f>
        <v>0.003090783546509716</v>
      </c>
      <c r="F57" s="10">
        <f>((F38)/0.25)/F29</f>
        <v>0.014188065767596528</v>
      </c>
      <c r="G57" s="10">
        <f>G38/G29</f>
        <v>0.05969242859949631</v>
      </c>
      <c r="H57" s="10">
        <f>H38/H29</f>
        <v>0.05137233658360419</v>
      </c>
    </row>
    <row r="58" spans="1:8" ht="11.25">
      <c r="A58" s="7" t="s">
        <v>51</v>
      </c>
      <c r="B58" s="7"/>
      <c r="C58" s="10">
        <f>(C31)/C25</f>
        <v>0.07910025270144716</v>
      </c>
      <c r="D58" s="10">
        <f>((D31)/0.75)/D25</f>
        <v>0.07935665509171506</v>
      </c>
      <c r="E58" s="10">
        <f>((E31)/0.5)/E25</f>
        <v>0.06946987731184764</v>
      </c>
      <c r="F58" s="10">
        <f>((F31)/0.25)/F25</f>
        <v>0.0711536394792044</v>
      </c>
      <c r="G58" s="10">
        <f>G31/G25</f>
        <v>0.07178713359428691</v>
      </c>
      <c r="H58" s="10">
        <f>H31/H25</f>
        <v>0.08574458114580272</v>
      </c>
    </row>
    <row r="59" spans="1:8" ht="11.25">
      <c r="A59" s="7" t="s">
        <v>52</v>
      </c>
      <c r="B59" s="7"/>
      <c r="C59" s="10">
        <f>(C32)/C25</f>
        <v>0.05080419795308213</v>
      </c>
      <c r="D59" s="10">
        <f>((D32)/0.75)/D25</f>
        <v>0.052299573900253235</v>
      </c>
      <c r="E59" s="10">
        <f>((E32)/0.5)/E25</f>
        <v>0.05182201062076543</v>
      </c>
      <c r="F59" s="10">
        <f>((F32)/0.25)/F25</f>
        <v>0.05276418913271053</v>
      </c>
      <c r="G59" s="10">
        <f>G32/G25</f>
        <v>0.0497729106283802</v>
      </c>
      <c r="H59" s="10">
        <f>H32/H25</f>
        <v>0.066583004376385</v>
      </c>
    </row>
    <row r="60" spans="1:8" ht="11.25">
      <c r="A60" s="7" t="s">
        <v>53</v>
      </c>
      <c r="B60" s="7"/>
      <c r="C60" s="10">
        <f>(C33)/C25</f>
        <v>0.028296054748365034</v>
      </c>
      <c r="D60" s="10">
        <f>((D33)/0.75)/D25</f>
        <v>0.02705708119146183</v>
      </c>
      <c r="E60" s="10">
        <f>((E33)/0.5)/E25</f>
        <v>0.01764786669108222</v>
      </c>
      <c r="F60" s="10">
        <f>((F33)/0.25)/F25</f>
        <v>0.018389450346493863</v>
      </c>
      <c r="G60" s="10">
        <f>G33/G25</f>
        <v>0.022014222965906716</v>
      </c>
      <c r="H60" s="10">
        <f>H33/H25</f>
        <v>0.019161576769417727</v>
      </c>
    </row>
    <row r="61" spans="1:8" ht="11.25">
      <c r="A61" s="7" t="s">
        <v>54</v>
      </c>
      <c r="B61" s="7"/>
      <c r="C61" s="10">
        <f>(C36)/(C35)</f>
        <v>0.5995634487548368</v>
      </c>
      <c r="D61" s="10">
        <f>((D36)/0.75)/((D35)/0.75)</f>
        <v>0.7471961200363746</v>
      </c>
      <c r="E61" s="10">
        <f>((E36)/0.5)/((E35)/0.5)</f>
        <v>0.8067741935483871</v>
      </c>
      <c r="F61" s="10">
        <f>(F36/0.25)/(F35/0.25)</f>
        <v>0.7654476670870114</v>
      </c>
      <c r="G61" s="10">
        <f>G36/G35</f>
        <v>0.6303678929765887</v>
      </c>
      <c r="H61" s="10">
        <f>H36/H35</f>
        <v>0.5897545054633178</v>
      </c>
    </row>
    <row r="62" spans="1:8" ht="11.25">
      <c r="A62" s="3" t="s">
        <v>55</v>
      </c>
      <c r="B62" s="3"/>
      <c r="C62" s="12">
        <f>(C34)/C25</f>
        <v>0.008141397124481673</v>
      </c>
      <c r="D62" s="12">
        <f>((D34)/0.75)/D25</f>
        <v>0.006292932203132819</v>
      </c>
      <c r="E62" s="12">
        <f>((E34)/0.5)/E25</f>
        <v>0.006004699993896112</v>
      </c>
      <c r="F62" s="12">
        <f>(F34/0.255)/F25</f>
        <v>0.006727657329037311</v>
      </c>
      <c r="G62" s="12">
        <f>G34/G25</f>
        <v>0.005905070666626827</v>
      </c>
      <c r="H62" s="12">
        <f>H34/H25</f>
        <v>0.008824253592051023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92</v>
      </c>
      <c r="D64" s="8">
        <v>102</v>
      </c>
      <c r="E64" s="8">
        <v>102</v>
      </c>
      <c r="F64" s="8">
        <v>100</v>
      </c>
      <c r="G64" s="8">
        <v>98</v>
      </c>
      <c r="H64" s="8">
        <v>97</v>
      </c>
    </row>
    <row r="65" spans="1:8" ht="11.25">
      <c r="A65" s="7" t="s">
        <v>58</v>
      </c>
      <c r="B65" s="7"/>
      <c r="C65" s="8">
        <v>2</v>
      </c>
      <c r="D65" s="8">
        <v>2</v>
      </c>
      <c r="E65" s="8">
        <v>2</v>
      </c>
      <c r="F65" s="8">
        <v>2</v>
      </c>
      <c r="G65" s="8">
        <v>2</v>
      </c>
      <c r="H65" s="8">
        <v>2</v>
      </c>
    </row>
    <row r="66" spans="1:8" ht="11.25">
      <c r="A66" s="7" t="s">
        <v>59</v>
      </c>
      <c r="B66" s="7"/>
      <c r="C66" s="8">
        <f aca="true" t="shared" si="16" ref="C66:H66">C11/C64</f>
        <v>1629.6521739130435</v>
      </c>
      <c r="D66" s="8">
        <f t="shared" si="16"/>
        <v>1601.1470588235295</v>
      </c>
      <c r="E66" s="8">
        <f t="shared" si="16"/>
        <v>1486.5392156862745</v>
      </c>
      <c r="F66" s="8">
        <f t="shared" si="16"/>
        <v>1548.25</v>
      </c>
      <c r="G66" s="8">
        <f t="shared" si="16"/>
        <v>1416</v>
      </c>
      <c r="H66" s="8">
        <f t="shared" si="16"/>
        <v>1377.4845360824743</v>
      </c>
    </row>
    <row r="67" spans="1:8" ht="11.25">
      <c r="A67" s="7" t="s">
        <v>60</v>
      </c>
      <c r="B67" s="7"/>
      <c r="C67" s="8">
        <f aca="true" t="shared" si="17" ref="C67:H67">C15/C64</f>
        <v>2216.663043478261</v>
      </c>
      <c r="D67" s="8">
        <f t="shared" si="17"/>
        <v>1939.5</v>
      </c>
      <c r="E67" s="8">
        <f t="shared" si="17"/>
        <v>1830.2156862745098</v>
      </c>
      <c r="F67" s="8">
        <f t="shared" si="17"/>
        <v>1852.01</v>
      </c>
      <c r="G67" s="8">
        <f t="shared" si="17"/>
        <v>1897.5</v>
      </c>
      <c r="H67" s="8">
        <f t="shared" si="17"/>
        <v>1857.041237113402</v>
      </c>
    </row>
    <row r="68" spans="1:8" ht="11.25">
      <c r="A68" s="3" t="s">
        <v>61</v>
      </c>
      <c r="B68" s="3"/>
      <c r="C68" s="9">
        <f aca="true" t="shared" si="18" ref="C68:H68">C38/C64</f>
        <v>10.130434782608695</v>
      </c>
      <c r="D68" s="9">
        <f t="shared" si="18"/>
        <v>3.3333333333333335</v>
      </c>
      <c r="E68" s="9">
        <f t="shared" si="18"/>
        <v>0.46078431372549017</v>
      </c>
      <c r="F68" s="9">
        <f t="shared" si="18"/>
        <v>0.96</v>
      </c>
      <c r="G68" s="9">
        <f t="shared" si="18"/>
        <v>17.051020408163264</v>
      </c>
      <c r="H68" s="9">
        <f t="shared" si="18"/>
        <v>11.731958762886597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0.01526322691573533</v>
      </c>
      <c r="D70" s="10">
        <f>(D9-243112)/243112</f>
        <v>0.17009855539833493</v>
      </c>
      <c r="E70" s="10">
        <f>(E9-251903)/251903</f>
        <v>0.08118998185809617</v>
      </c>
      <c r="F70" s="10">
        <f>(F9-227864)/227864</f>
        <v>0.20510041077133728</v>
      </c>
      <c r="G70" s="10">
        <f>(G9-H9)/H9</f>
        <v>0.05196278299790003</v>
      </c>
      <c r="H70" s="10">
        <f>(H9-242653)/242653</f>
        <v>0.07542869859428897</v>
      </c>
    </row>
    <row r="71" spans="1:8" ht="11.25">
      <c r="A71" s="7" t="s">
        <v>64</v>
      </c>
      <c r="B71" s="7"/>
      <c r="C71" s="10">
        <f>C11/G11-1</f>
        <v>0.08042199930819782</v>
      </c>
      <c r="D71" s="10">
        <f>D11/143321-1</f>
        <v>0.13951898186588152</v>
      </c>
      <c r="E71" s="10">
        <f>E11/150307-1</f>
        <v>0.008782026119874553</v>
      </c>
      <c r="F71" s="10">
        <f>F11/142644-1</f>
        <v>0.08539440845741852</v>
      </c>
      <c r="G71" s="10">
        <f>G11/H11-1</f>
        <v>0.038558256496227905</v>
      </c>
      <c r="H71" s="10">
        <f>H11/168598-1</f>
        <v>-0.20748763330525866</v>
      </c>
    </row>
    <row r="72" spans="1:8" ht="11.25">
      <c r="A72" s="7"/>
      <c r="B72" s="7" t="s">
        <v>13</v>
      </c>
      <c r="C72" s="10">
        <f>(C12-G12)/G12</f>
        <v>-0.007973379543497442</v>
      </c>
      <c r="D72" s="10">
        <f>D12/102237-1</f>
        <v>-0.0023474867220282247</v>
      </c>
      <c r="E72" s="10">
        <f>E12/109395-1</f>
        <v>-0.16263083321906846</v>
      </c>
      <c r="F72" s="10">
        <f>F12/104689-1</f>
        <v>-0.14490538643028394</v>
      </c>
      <c r="G72" s="10">
        <f>(G12-H12)/H12</f>
        <v>-0.1380804896822197</v>
      </c>
      <c r="H72" s="10">
        <f>H12/122478-1</f>
        <v>-0.10896650827087317</v>
      </c>
    </row>
    <row r="73" spans="1:8" ht="11.25">
      <c r="A73" s="7"/>
      <c r="B73" s="7" t="s">
        <v>14</v>
      </c>
      <c r="C73" s="10">
        <f>(C13-G13)/G13</f>
        <v>0.2664131528911755</v>
      </c>
      <c r="D73" s="10">
        <f>D13/41084-1</f>
        <v>0.4925518450004869</v>
      </c>
      <c r="E73" s="10">
        <f>E13/40912-1</f>
        <v>0.4671245600312868</v>
      </c>
      <c r="F73" s="10">
        <f>F13/37955-1</f>
        <v>0.72061651956264</v>
      </c>
      <c r="G73" s="10">
        <f>(G13-H13)/H13</f>
        <v>0.8258862930893645</v>
      </c>
      <c r="H73" s="10">
        <f>(H13-46119)/46119</f>
        <v>-0.4691125132808604</v>
      </c>
    </row>
    <row r="74" spans="1:8" ht="11.25">
      <c r="A74" s="7" t="s">
        <v>65</v>
      </c>
      <c r="B74" s="7"/>
      <c r="C74" s="10">
        <f>C15/G15-1</f>
        <v>0.0966793041327203</v>
      </c>
      <c r="D74" s="10">
        <f>D15/179509-1</f>
        <v>0.10205616431488118</v>
      </c>
      <c r="E74" s="10">
        <f>E15/194203-1</f>
        <v>-0.03872751708264033</v>
      </c>
      <c r="F74" s="10">
        <f>F15/166061-1</f>
        <v>0.11525885066331054</v>
      </c>
      <c r="G74" s="10">
        <f>G15/H15-1</f>
        <v>0.03232056313945808</v>
      </c>
      <c r="H74" s="10">
        <f>H15/189935-1</f>
        <v>-0.05160712875457396</v>
      </c>
    </row>
    <row r="75" spans="1:8" ht="11.25">
      <c r="A75" s="7"/>
      <c r="B75" s="7" t="s">
        <v>13</v>
      </c>
      <c r="C75" s="10">
        <f>(C16-G16)/G16</f>
        <v>0.10028221382931507</v>
      </c>
      <c r="D75" s="10">
        <f>D16/116009-1</f>
        <v>0.15667749915954787</v>
      </c>
      <c r="E75" s="10">
        <f>E16/117575-1</f>
        <v>0.10561769083563677</v>
      </c>
      <c r="F75" s="10">
        <f>F16/100313-1</f>
        <v>0.1313389092141597</v>
      </c>
      <c r="G75" s="10">
        <f>(G16-H16)/H16</f>
        <v>0.19721882456738385</v>
      </c>
      <c r="H75" s="10">
        <f>(H16-90307)/90307</f>
        <v>0.10447695084544942</v>
      </c>
    </row>
    <row r="76" spans="1:8" ht="11.25">
      <c r="A76" s="7"/>
      <c r="B76" s="7" t="s">
        <v>14</v>
      </c>
      <c r="C76" s="10">
        <f>(C20-G20)/G20</f>
        <v>0.0902136996182862</v>
      </c>
      <c r="D76" s="10">
        <f>D20/63500-1</f>
        <v>0.0022677165354330064</v>
      </c>
      <c r="E76" s="10">
        <f>E20/76628-1</f>
        <v>-0.2602051469436759</v>
      </c>
      <c r="F76" s="10">
        <f>F20/65747-1</f>
        <v>0.09074178289503698</v>
      </c>
      <c r="G76" s="10">
        <f>(G20-H20)/H20</f>
        <v>-0.17227052779539997</v>
      </c>
      <c r="H76" s="10">
        <f>(H20-99627)/99627</f>
        <v>-0.193080189105363</v>
      </c>
    </row>
    <row r="77" spans="1:8" ht="11.25">
      <c r="A77" s="7" t="s">
        <v>66</v>
      </c>
      <c r="B77" s="7"/>
      <c r="C77" s="10">
        <f>(C23-G23)/G23</f>
        <v>-0.008044685953674751</v>
      </c>
      <c r="D77" s="10">
        <f>(D23-32832)/32832</f>
        <v>-0.022782651072124755</v>
      </c>
      <c r="E77" s="10">
        <f>(E23-29336)/29336</f>
        <v>0.07339105535860377</v>
      </c>
      <c r="F77" s="10">
        <f>(F23-22676)/22676</f>
        <v>0.3871494090668548</v>
      </c>
      <c r="G77" s="10">
        <f>(G23-H23)/H23</f>
        <v>0.42935867395643496</v>
      </c>
      <c r="H77" s="10">
        <f>(H23-21259)/21259</f>
        <v>0.08405851639305706</v>
      </c>
    </row>
    <row r="78" spans="1:8" ht="11.25">
      <c r="A78" s="3" t="s">
        <v>67</v>
      </c>
      <c r="B78" s="3"/>
      <c r="C78" s="12">
        <f>(C38-G38)/G38</f>
        <v>-0.4422501496110114</v>
      </c>
      <c r="D78" s="12">
        <f>D38/1559-1</f>
        <v>-0.7819114817190507</v>
      </c>
      <c r="E78" s="12">
        <f>E38/1185-1</f>
        <v>-0.960337552742616</v>
      </c>
      <c r="F78" s="12">
        <f>F38/659-1</f>
        <v>-0.8543247344461304</v>
      </c>
      <c r="G78" s="12">
        <f>(G38-H38)/H38</f>
        <v>0.46836555360281196</v>
      </c>
      <c r="H78" s="12">
        <f>(H38-I247)/1245</f>
        <v>0.9140562248995984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2002-05-02T19:18:18Z</cp:lastPrinted>
  <dcterms:created xsi:type="dcterms:W3CDTF">2002-03-08T15:15:50Z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