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liad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<sst xmlns="http://schemas.openxmlformats.org/spreadsheetml/2006/main" count="80" uniqueCount="68">
  <si>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18-11    BANCO ALIADO,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</si>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</sst>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11.421875" defaultRowHeight="12.75"/>
  <cols>
    <col min="1" max="1" width="3.00390625" style="1" customWidth="1"/>
    <col min="2" max="2" width="36.7109375" style="1" customWidth="1"/>
    <col min="3" max="3" width="11.421875" style="1" customWidth="1"/>
    <col min="4" max="6" width="9.8515625" style="1" customWidth="1"/>
    <col min="7" max="7" width="11.421875" style="1" customWidth="1"/>
    <col min="8" max="8" width="11.0039062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275675</v>
      </c>
      <c r="D9" s="8">
        <v>266479</v>
      </c>
      <c r="E9" s="8">
        <v>281521</v>
      </c>
      <c r="F9" s="8">
        <v>253395</v>
      </c>
      <c r="G9" s="8">
        <v>260065</v>
      </c>
      <c r="H9" s="8">
        <v>212581</v>
      </c>
    </row>
    <row r="10" spans="1:8" ht="11.25">
      <c r="A10" s="7" t="s">
        <v>11</v>
      </c>
      <c r="B10" s="7"/>
      <c r="C10" s="8">
        <v>94265</v>
      </c>
      <c r="D10" s="8">
        <v>54562</v>
      </c>
      <c r="E10" s="8">
        <v>75368</v>
      </c>
      <c r="F10" s="8">
        <v>61385</v>
      </c>
      <c r="G10" s="8">
        <v>71987</v>
      </c>
      <c r="H10" s="8">
        <v>78242</v>
      </c>
    </row>
    <row r="11" spans="1:8" ht="11.25">
      <c r="A11" s="7" t="s">
        <v>12</v>
      </c>
      <c r="B11" s="7"/>
      <c r="C11" s="8">
        <f aca="true" t="shared" si="0" ref="C11:H11">C12+C13</f>
        <v>158755</v>
      </c>
      <c r="D11" s="8">
        <f t="shared" si="0"/>
        <v>178478</v>
      </c>
      <c r="E11" s="8">
        <f t="shared" si="0"/>
        <v>169613</v>
      </c>
      <c r="F11" s="8">
        <f t="shared" si="0"/>
        <v>156675</v>
      </c>
      <c r="G11" s="8">
        <f t="shared" si="0"/>
        <v>150049</v>
      </c>
      <c r="H11" s="8">
        <f t="shared" si="0"/>
        <v>118482</v>
      </c>
    </row>
    <row r="12" spans="1:8" ht="11.25">
      <c r="A12" s="7"/>
      <c r="B12" s="7" t="s">
        <v>13</v>
      </c>
      <c r="C12" s="8">
        <v>141994</v>
      </c>
      <c r="D12" s="8">
        <v>155223</v>
      </c>
      <c r="E12" s="8">
        <v>141216</v>
      </c>
      <c r="F12" s="8">
        <v>128990</v>
      </c>
      <c r="G12" s="8">
        <v>126370</v>
      </c>
      <c r="H12" s="8">
        <v>111752</v>
      </c>
    </row>
    <row r="13" spans="1:8" ht="11.25">
      <c r="A13" s="7"/>
      <c r="B13" s="7" t="s">
        <v>14</v>
      </c>
      <c r="C13" s="8">
        <v>16761</v>
      </c>
      <c r="D13" s="8">
        <v>23255</v>
      </c>
      <c r="E13" s="8">
        <v>28397</v>
      </c>
      <c r="F13" s="8">
        <v>27685</v>
      </c>
      <c r="G13" s="8">
        <v>23679</v>
      </c>
      <c r="H13" s="8">
        <v>6730</v>
      </c>
    </row>
    <row r="14" spans="1:8" ht="11.25">
      <c r="A14" s="7" t="s">
        <v>15</v>
      </c>
      <c r="B14" s="7"/>
      <c r="C14" s="8">
        <v>18827</v>
      </c>
      <c r="D14" s="8">
        <v>29258</v>
      </c>
      <c r="E14" s="8">
        <v>33222</v>
      </c>
      <c r="F14" s="8">
        <v>30868</v>
      </c>
      <c r="G14" s="8">
        <v>34108</v>
      </c>
      <c r="H14" s="8">
        <v>12529</v>
      </c>
    </row>
    <row r="15" spans="1:8" ht="11.25">
      <c r="A15" s="7" t="s">
        <v>16</v>
      </c>
      <c r="B15" s="7"/>
      <c r="C15" s="8">
        <f aca="true" t="shared" si="1" ref="C15:H15">C16+C20</f>
        <v>228052</v>
      </c>
      <c r="D15" s="8">
        <f t="shared" si="1"/>
        <v>218716</v>
      </c>
      <c r="E15" s="8">
        <f t="shared" si="1"/>
        <v>234659</v>
      </c>
      <c r="F15" s="8">
        <f t="shared" si="1"/>
        <v>215392</v>
      </c>
      <c r="G15" s="8">
        <f t="shared" si="1"/>
        <v>212638</v>
      </c>
      <c r="H15" s="8">
        <f t="shared" si="1"/>
        <v>172360</v>
      </c>
    </row>
    <row r="16" spans="1:8" ht="11.25">
      <c r="A16" s="7"/>
      <c r="B16" s="7" t="s">
        <v>13</v>
      </c>
      <c r="C16" s="8">
        <f aca="true" t="shared" si="2" ref="C16:H16">SUM(C17:C19)</f>
        <v>185703</v>
      </c>
      <c r="D16" s="8">
        <f t="shared" si="2"/>
        <v>176868</v>
      </c>
      <c r="E16" s="8">
        <f t="shared" si="2"/>
        <v>188931</v>
      </c>
      <c r="F16" s="8">
        <f t="shared" si="2"/>
        <v>167490</v>
      </c>
      <c r="G16" s="8">
        <f t="shared" si="2"/>
        <v>170204</v>
      </c>
      <c r="H16" s="8">
        <f t="shared" si="2"/>
        <v>139827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147821</v>
      </c>
      <c r="D18" s="8">
        <v>136742</v>
      </c>
      <c r="E18" s="8">
        <v>142775</v>
      </c>
      <c r="F18" s="8">
        <v>144967</v>
      </c>
      <c r="G18" s="8">
        <v>141158</v>
      </c>
      <c r="H18" s="8">
        <v>112503</v>
      </c>
    </row>
    <row r="19" spans="1:8" ht="11.25">
      <c r="A19" s="7"/>
      <c r="B19" s="7" t="s">
        <v>19</v>
      </c>
      <c r="C19" s="8">
        <v>37882</v>
      </c>
      <c r="D19" s="8">
        <v>40126</v>
      </c>
      <c r="E19" s="8">
        <v>46156</v>
      </c>
      <c r="F19" s="8">
        <v>22523</v>
      </c>
      <c r="G19" s="8">
        <v>29046</v>
      </c>
      <c r="H19" s="8">
        <v>27324</v>
      </c>
    </row>
    <row r="20" spans="1:8" ht="11.25">
      <c r="A20" s="7"/>
      <c r="B20" s="7" t="s">
        <v>14</v>
      </c>
      <c r="C20" s="8">
        <f aca="true" t="shared" si="3" ref="C20:H20">SUM(C21:C22)</f>
        <v>42349</v>
      </c>
      <c r="D20" s="8">
        <f t="shared" si="3"/>
        <v>41848</v>
      </c>
      <c r="E20" s="8">
        <f t="shared" si="3"/>
        <v>45728</v>
      </c>
      <c r="F20" s="8">
        <f t="shared" si="3"/>
        <v>47902</v>
      </c>
      <c r="G20" s="8">
        <f t="shared" si="3"/>
        <v>42434</v>
      </c>
      <c r="H20" s="8">
        <f t="shared" si="3"/>
        <v>32533</v>
      </c>
    </row>
    <row r="21" spans="1:8" ht="11.25">
      <c r="A21" s="7"/>
      <c r="B21" s="7" t="s">
        <v>18</v>
      </c>
      <c r="C21" s="8">
        <v>37625</v>
      </c>
      <c r="D21" s="8">
        <v>37942</v>
      </c>
      <c r="E21" s="8">
        <v>41350</v>
      </c>
      <c r="F21" s="8">
        <v>38616</v>
      </c>
      <c r="G21" s="8">
        <v>28646</v>
      </c>
      <c r="H21" s="8">
        <v>19003</v>
      </c>
    </row>
    <row r="22" spans="1:8" ht="11.25">
      <c r="A22" s="7"/>
      <c r="B22" s="7" t="s">
        <v>19</v>
      </c>
      <c r="C22" s="8">
        <v>4724</v>
      </c>
      <c r="D22" s="8">
        <v>3906</v>
      </c>
      <c r="E22" s="8">
        <v>4378</v>
      </c>
      <c r="F22" s="8">
        <v>9286</v>
      </c>
      <c r="G22" s="8">
        <v>13788</v>
      </c>
      <c r="H22" s="8">
        <v>13530</v>
      </c>
    </row>
    <row r="23" spans="1:8" ht="11.25">
      <c r="A23" s="3" t="s">
        <v>20</v>
      </c>
      <c r="B23" s="3"/>
      <c r="C23" s="9">
        <v>27139</v>
      </c>
      <c r="D23" s="9">
        <v>26291</v>
      </c>
      <c r="E23" s="9">
        <v>25627</v>
      </c>
      <c r="F23" s="9">
        <v>24667</v>
      </c>
      <c r="G23" s="9">
        <v>23828</v>
      </c>
      <c r="H23" s="9">
        <v>21562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v>267870</v>
      </c>
      <c r="D25" s="8">
        <f>+(D9+H9)/2</f>
        <v>239530</v>
      </c>
      <c r="E25" s="8">
        <v>271486</v>
      </c>
      <c r="F25" s="8">
        <v>234722</v>
      </c>
      <c r="G25" s="8">
        <f>(G9+H9)/2</f>
        <v>236323</v>
      </c>
      <c r="H25" s="8">
        <v>216117</v>
      </c>
    </row>
    <row r="26" spans="1:8" ht="11.25">
      <c r="A26" s="7" t="s">
        <v>22</v>
      </c>
      <c r="B26" s="7"/>
      <c r="C26" s="8">
        <f aca="true" t="shared" si="4" ref="C26:H26">C27+C28</f>
        <v>180869</v>
      </c>
      <c r="D26" s="8">
        <f t="shared" si="4"/>
        <v>179998</v>
      </c>
      <c r="E26" s="8">
        <f t="shared" si="4"/>
        <v>185642</v>
      </c>
      <c r="F26" s="8">
        <f t="shared" si="4"/>
        <v>164063</v>
      </c>
      <c r="G26" s="8">
        <f t="shared" si="4"/>
        <v>157584</v>
      </c>
      <c r="H26" s="8">
        <f t="shared" si="4"/>
        <v>147041</v>
      </c>
    </row>
    <row r="27" spans="1:8" ht="11.25">
      <c r="A27" s="7"/>
      <c r="B27" s="7" t="s">
        <v>12</v>
      </c>
      <c r="C27" s="7">
        <v>154402</v>
      </c>
      <c r="D27" s="8">
        <f>+(D11+H11)/2</f>
        <v>148480</v>
      </c>
      <c r="E27" s="8">
        <v>154303</v>
      </c>
      <c r="F27" s="8">
        <v>135470</v>
      </c>
      <c r="G27" s="8">
        <f>(G11+H11)/2</f>
        <v>134265.5</v>
      </c>
      <c r="H27" s="8">
        <v>133684</v>
      </c>
    </row>
    <row r="28" spans="1:8" ht="11.25">
      <c r="A28" s="7"/>
      <c r="B28" s="7" t="s">
        <v>15</v>
      </c>
      <c r="C28" s="7">
        <v>26467</v>
      </c>
      <c r="D28" s="8">
        <v>31518</v>
      </c>
      <c r="E28" s="8">
        <v>31339</v>
      </c>
      <c r="F28" s="8">
        <v>28593</v>
      </c>
      <c r="G28" s="8">
        <f>(G14+H14)/2</f>
        <v>23318.5</v>
      </c>
      <c r="H28" s="8">
        <v>13357</v>
      </c>
    </row>
    <row r="29" spans="1:8" ht="11.25">
      <c r="A29" s="3" t="s">
        <v>20</v>
      </c>
      <c r="B29" s="3"/>
      <c r="C29" s="3">
        <v>25483</v>
      </c>
      <c r="D29" s="9">
        <f>+(D23+H23)/2</f>
        <v>23926.5</v>
      </c>
      <c r="E29" s="9">
        <v>24006</v>
      </c>
      <c r="F29" s="9">
        <v>23271</v>
      </c>
      <c r="G29" s="9">
        <f>(G23+H23)/2</f>
        <v>22695</v>
      </c>
      <c r="H29" s="9">
        <v>19235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23577</v>
      </c>
      <c r="D31" s="8">
        <v>17542</v>
      </c>
      <c r="E31" s="8">
        <v>11196</v>
      </c>
      <c r="F31" s="8">
        <v>5375</v>
      </c>
      <c r="G31" s="8">
        <v>20093</v>
      </c>
      <c r="H31" s="8">
        <v>20410</v>
      </c>
    </row>
    <row r="32" spans="1:8" ht="11.25">
      <c r="A32" s="7" t="s">
        <v>25</v>
      </c>
      <c r="B32" s="7"/>
      <c r="C32" s="8">
        <v>18367</v>
      </c>
      <c r="D32" s="8">
        <v>13741</v>
      </c>
      <c r="E32" s="8">
        <v>8699</v>
      </c>
      <c r="F32" s="8">
        <v>4306</v>
      </c>
      <c r="G32" s="8">
        <v>16728</v>
      </c>
      <c r="H32" s="8">
        <v>16885</v>
      </c>
    </row>
    <row r="33" spans="1:8" ht="11.25">
      <c r="A33" s="7" t="s">
        <v>26</v>
      </c>
      <c r="B33" s="7"/>
      <c r="C33" s="8">
        <f aca="true" t="shared" si="5" ref="C33:H33">C31-C32</f>
        <v>5210</v>
      </c>
      <c r="D33" s="8">
        <f t="shared" si="5"/>
        <v>3801</v>
      </c>
      <c r="E33" s="8">
        <f t="shared" si="5"/>
        <v>2497</v>
      </c>
      <c r="F33" s="8">
        <f t="shared" si="5"/>
        <v>1069</v>
      </c>
      <c r="G33" s="8">
        <f t="shared" si="5"/>
        <v>3365</v>
      </c>
      <c r="H33" s="8">
        <f t="shared" si="5"/>
        <v>3525</v>
      </c>
    </row>
    <row r="34" spans="1:8" ht="11.25">
      <c r="A34" s="7" t="s">
        <v>27</v>
      </c>
      <c r="B34" s="7"/>
      <c r="C34" s="8">
        <v>2080</v>
      </c>
      <c r="D34" s="8">
        <v>1627</v>
      </c>
      <c r="E34" s="8">
        <v>1085</v>
      </c>
      <c r="F34" s="8">
        <v>634</v>
      </c>
      <c r="G34" s="8">
        <v>1677</v>
      </c>
      <c r="H34" s="8">
        <v>1527</v>
      </c>
    </row>
    <row r="35" spans="1:8" ht="11.25">
      <c r="A35" s="7" t="s">
        <v>28</v>
      </c>
      <c r="B35" s="7"/>
      <c r="C35" s="8">
        <f aca="true" t="shared" si="6" ref="C35:H35">C33+C34</f>
        <v>7290</v>
      </c>
      <c r="D35" s="8">
        <f t="shared" si="6"/>
        <v>5428</v>
      </c>
      <c r="E35" s="8">
        <f t="shared" si="6"/>
        <v>3582</v>
      </c>
      <c r="F35" s="8">
        <f t="shared" si="6"/>
        <v>1703</v>
      </c>
      <c r="G35" s="8">
        <f t="shared" si="6"/>
        <v>5042</v>
      </c>
      <c r="H35" s="8">
        <f t="shared" si="6"/>
        <v>5052</v>
      </c>
    </row>
    <row r="36" spans="1:8" ht="11.25">
      <c r="A36" s="7" t="s">
        <v>29</v>
      </c>
      <c r="B36" s="7"/>
      <c r="C36" s="8">
        <v>3681</v>
      </c>
      <c r="D36" s="8">
        <v>2668</v>
      </c>
      <c r="E36" s="8">
        <v>1784</v>
      </c>
      <c r="F36" s="8">
        <v>864</v>
      </c>
      <c r="G36" s="8">
        <v>2609</v>
      </c>
      <c r="H36" s="8">
        <v>1957</v>
      </c>
    </row>
    <row r="37" spans="1:8" ht="11.25">
      <c r="A37" s="7" t="s">
        <v>30</v>
      </c>
      <c r="B37" s="7"/>
      <c r="C37" s="8">
        <f aca="true" t="shared" si="7" ref="C37:H37">C35-C36</f>
        <v>3609</v>
      </c>
      <c r="D37" s="8">
        <f t="shared" si="7"/>
        <v>2760</v>
      </c>
      <c r="E37" s="8">
        <f t="shared" si="7"/>
        <v>1798</v>
      </c>
      <c r="F37" s="8">
        <f t="shared" si="7"/>
        <v>839</v>
      </c>
      <c r="G37" s="8">
        <f t="shared" si="7"/>
        <v>2433</v>
      </c>
      <c r="H37" s="8">
        <f t="shared" si="7"/>
        <v>3095</v>
      </c>
    </row>
    <row r="38" spans="1:8" ht="11.25">
      <c r="A38" s="3" t="s">
        <v>31</v>
      </c>
      <c r="B38" s="3"/>
      <c r="C38" s="9">
        <v>3609</v>
      </c>
      <c r="D38" s="9">
        <v>2760</v>
      </c>
      <c r="E38" s="9">
        <v>1798</v>
      </c>
      <c r="F38" s="9">
        <v>839</v>
      </c>
      <c r="G38" s="9">
        <v>2433</v>
      </c>
      <c r="H38" s="9">
        <v>3095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3266</v>
      </c>
      <c r="D41" s="8">
        <v>1659</v>
      </c>
      <c r="E41" s="8">
        <v>1656</v>
      </c>
      <c r="F41" s="8">
        <v>1830</v>
      </c>
      <c r="G41" s="8">
        <v>799</v>
      </c>
      <c r="H41" s="8">
        <v>326</v>
      </c>
    </row>
    <row r="42" spans="1:8" ht="11.25">
      <c r="A42" s="7" t="s">
        <v>35</v>
      </c>
      <c r="B42" s="7"/>
      <c r="C42" s="10">
        <f aca="true" t="shared" si="8" ref="C42:H42">C40/C11</f>
        <v>0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0.02057258039116878</v>
      </c>
      <c r="D43" s="10">
        <f t="shared" si="9"/>
        <v>0.009295263281749011</v>
      </c>
      <c r="E43" s="10">
        <f t="shared" si="9"/>
        <v>0.009763402569378526</v>
      </c>
      <c r="F43" s="10">
        <f t="shared" si="9"/>
        <v>0.011680229775011968</v>
      </c>
      <c r="G43" s="10">
        <f t="shared" si="9"/>
        <v>0.005324927190451119</v>
      </c>
      <c r="H43" s="10">
        <f t="shared" si="9"/>
        <v>0.0027514727975557467</v>
      </c>
    </row>
    <row r="44" spans="1:8" ht="11.25">
      <c r="A44" s="11" t="s">
        <v>37</v>
      </c>
      <c r="B44" s="7"/>
      <c r="C44" s="10">
        <f aca="true" t="shared" si="10" ref="C44:H44">(C40+C41)/C11</f>
        <v>0.02057258039116878</v>
      </c>
      <c r="D44" s="10">
        <f t="shared" si="10"/>
        <v>0.009295263281749011</v>
      </c>
      <c r="E44" s="10">
        <f t="shared" si="10"/>
        <v>0.009763402569378526</v>
      </c>
      <c r="F44" s="10">
        <f t="shared" si="10"/>
        <v>0.011680229775011968</v>
      </c>
      <c r="G44" s="10">
        <f t="shared" si="10"/>
        <v>0.005324927190451119</v>
      </c>
      <c r="H44" s="10">
        <f t="shared" si="10"/>
        <v>0.0027514727975557467</v>
      </c>
    </row>
    <row r="45" spans="1:8" ht="11.25">
      <c r="A45" s="7" t="s">
        <v>38</v>
      </c>
      <c r="B45" s="7"/>
      <c r="C45" s="10">
        <v>0.0118</v>
      </c>
      <c r="D45" s="10">
        <v>0.0091</v>
      </c>
      <c r="E45" s="10">
        <v>0.009</v>
      </c>
      <c r="F45" s="10">
        <v>0.0082</v>
      </c>
      <c r="G45" s="10">
        <v>0.0074</v>
      </c>
      <c r="H45" s="10">
        <v>0.0073</v>
      </c>
    </row>
    <row r="46" spans="1:8" ht="11.25">
      <c r="A46" s="3" t="s">
        <v>39</v>
      </c>
      <c r="B46" s="3"/>
      <c r="C46" s="12">
        <v>0.5715</v>
      </c>
      <c r="D46" s="12">
        <v>0.9803</v>
      </c>
      <c r="E46" s="12">
        <v>0.9239</v>
      </c>
      <c r="F46" s="12">
        <v>0.7048</v>
      </c>
      <c r="G46" s="12">
        <v>1.3884</v>
      </c>
      <c r="H46" s="12">
        <v>2.6702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0.15282517372256196</v>
      </c>
      <c r="D48" s="10">
        <f t="shared" si="11"/>
        <v>0.1265596718912466</v>
      </c>
      <c r="E48" s="10">
        <f t="shared" si="11"/>
        <v>0.12634407276850643</v>
      </c>
      <c r="F48" s="10">
        <f t="shared" si="11"/>
        <v>0.13152716976906628</v>
      </c>
      <c r="G48" s="10">
        <f t="shared" si="11"/>
        <v>0.12938959692001933</v>
      </c>
      <c r="H48" s="10">
        <f t="shared" si="11"/>
        <v>0.16458160001831906</v>
      </c>
    </row>
    <row r="49" spans="1:8" ht="11.25">
      <c r="A49" s="3" t="s">
        <v>42</v>
      </c>
      <c r="B49" s="3"/>
      <c r="C49" s="12">
        <f aca="true" t="shared" si="12" ref="C49:H49">C23/C11</f>
        <v>0.17094894648987433</v>
      </c>
      <c r="D49" s="12">
        <f t="shared" si="12"/>
        <v>0.1473066708501888</v>
      </c>
      <c r="E49" s="12">
        <f t="shared" si="12"/>
        <v>0.15109101307093206</v>
      </c>
      <c r="F49" s="12">
        <f t="shared" si="12"/>
        <v>0.15744056167225148</v>
      </c>
      <c r="G49" s="12">
        <f t="shared" si="12"/>
        <v>0.15880145819032448</v>
      </c>
      <c r="H49" s="12">
        <f t="shared" si="12"/>
        <v>0.18198544926655524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0.41334870994334627</v>
      </c>
      <c r="D51" s="13">
        <f t="shared" si="13"/>
        <v>0.24946505971213812</v>
      </c>
      <c r="E51" s="13">
        <f t="shared" si="13"/>
        <v>0.32118094767300637</v>
      </c>
      <c r="F51" s="13">
        <f t="shared" si="13"/>
        <v>0.2849920145595008</v>
      </c>
      <c r="G51" s="13">
        <f t="shared" si="13"/>
        <v>0.33854249945917475</v>
      </c>
      <c r="H51" s="13">
        <f t="shared" si="13"/>
        <v>0.4539452309120446</v>
      </c>
    </row>
    <row r="52" spans="1:8" ht="11.25">
      <c r="A52" s="7" t="s">
        <v>45</v>
      </c>
      <c r="B52" s="7"/>
      <c r="C52" s="13">
        <f aca="true" t="shared" si="14" ref="C52:H52">C10/C9</f>
        <v>0.3419425047610411</v>
      </c>
      <c r="D52" s="13">
        <f t="shared" si="14"/>
        <v>0.2047515939342312</v>
      </c>
      <c r="E52" s="13">
        <f t="shared" si="14"/>
        <v>0.26771715076317576</v>
      </c>
      <c r="F52" s="13">
        <f t="shared" si="14"/>
        <v>0.24225024171747667</v>
      </c>
      <c r="G52" s="13">
        <f t="shared" si="14"/>
        <v>0.2768038759540884</v>
      </c>
      <c r="H52" s="13">
        <f t="shared" si="14"/>
        <v>0.3680573522563164</v>
      </c>
    </row>
    <row r="53" spans="1:8" ht="11.25">
      <c r="A53" s="3" t="s">
        <v>46</v>
      </c>
      <c r="B53" s="3"/>
      <c r="C53" s="14">
        <f aca="true" t="shared" si="15" ref="C53:H53">(C10+C14)/C15</f>
        <v>0.49590444284636837</v>
      </c>
      <c r="D53" s="14">
        <f t="shared" si="15"/>
        <v>0.3832367087913093</v>
      </c>
      <c r="E53" s="14">
        <f t="shared" si="15"/>
        <v>0.46275659574105404</v>
      </c>
      <c r="F53" s="14">
        <f t="shared" si="15"/>
        <v>0.4283028153320458</v>
      </c>
      <c r="G53" s="14">
        <f t="shared" si="15"/>
        <v>0.49894656646507207</v>
      </c>
      <c r="H53" s="14">
        <f t="shared" si="15"/>
        <v>0.5266361104664655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0.019953668124443658</v>
      </c>
      <c r="D55" s="10">
        <f>((D38)/0.75)/D26</f>
        <v>0.020444671607462304</v>
      </c>
      <c r="E55" s="10">
        <f>((E38)/0.5)/E26</f>
        <v>0.01937061656306224</v>
      </c>
      <c r="F55" s="10">
        <f>((F38)/0.25)/F26</f>
        <v>0.020455556706874798</v>
      </c>
      <c r="G55" s="10">
        <f>G38/G26</f>
        <v>0.015439384709107523</v>
      </c>
      <c r="H55" s="10">
        <f>H38/H26</f>
        <v>0.021048551084391427</v>
      </c>
    </row>
    <row r="56" spans="1:8" ht="11.25">
      <c r="A56" s="7" t="s">
        <v>49</v>
      </c>
      <c r="B56" s="7"/>
      <c r="C56" s="10">
        <f>(C38)/C25</f>
        <v>0.013472953298241684</v>
      </c>
      <c r="D56" s="10">
        <f>((D38)/0.75)/D25</f>
        <v>0.015363420030893834</v>
      </c>
      <c r="E56" s="10">
        <f>((E38)/0.5)/E25</f>
        <v>0.013245618558599707</v>
      </c>
      <c r="F56" s="10">
        <f>((F38)/0.25)/F25</f>
        <v>0.014297765015635518</v>
      </c>
      <c r="G56" s="10">
        <f>G38/G25</f>
        <v>0.010295231526343183</v>
      </c>
      <c r="H56" s="10">
        <f>H38/H25</f>
        <v>0.014320946524336355</v>
      </c>
    </row>
    <row r="57" spans="1:8" ht="11.25">
      <c r="A57" s="7" t="s">
        <v>50</v>
      </c>
      <c r="B57" s="7"/>
      <c r="C57" s="10">
        <f>(C38)/C29</f>
        <v>0.14162382764980574</v>
      </c>
      <c r="D57" s="10">
        <f>((D38)/0.75)/D29</f>
        <v>0.1538043591833323</v>
      </c>
      <c r="E57" s="10">
        <f>((E38)/0.5)/E29</f>
        <v>0.14979588436224278</v>
      </c>
      <c r="F57" s="10">
        <f>((F38)/0.25)/F29</f>
        <v>0.14421382837007435</v>
      </c>
      <c r="G57" s="10">
        <f>G38/G29</f>
        <v>0.10720423000660939</v>
      </c>
      <c r="H57" s="10">
        <f>H38/H29</f>
        <v>0.1609046009877827</v>
      </c>
    </row>
    <row r="58" spans="1:8" ht="11.25">
      <c r="A58" s="7" t="s">
        <v>51</v>
      </c>
      <c r="B58" s="7"/>
      <c r="C58" s="10">
        <f>(C31)/C25</f>
        <v>0.08801657520439019</v>
      </c>
      <c r="D58" s="10">
        <f>((D31)/0.75)/D25</f>
        <v>0.09764678050070276</v>
      </c>
      <c r="E58" s="10">
        <f>((E31)/0.5)/E25</f>
        <v>0.08247939120249295</v>
      </c>
      <c r="F58" s="10">
        <f>((F31)/0.25)/F25</f>
        <v>0.09159771985582944</v>
      </c>
      <c r="G58" s="10">
        <f>G31/G25</f>
        <v>0.0850234636493274</v>
      </c>
      <c r="H58" s="10">
        <f>H31/H25</f>
        <v>0.09443958596500969</v>
      </c>
    </row>
    <row r="59" spans="1:8" ht="11.25">
      <c r="A59" s="7" t="s">
        <v>52</v>
      </c>
      <c r="B59" s="7"/>
      <c r="C59" s="10">
        <f>(C32)/C25</f>
        <v>0.06856684212491133</v>
      </c>
      <c r="D59" s="10">
        <f>((D32)/0.75)/D25</f>
        <v>0.07648867921902615</v>
      </c>
      <c r="E59" s="10">
        <f>((E32)/0.5)/E25</f>
        <v>0.06408433584052216</v>
      </c>
      <c r="F59" s="10">
        <f>((F32)/0.25)/F25</f>
        <v>0.07338042450217705</v>
      </c>
      <c r="G59" s="10">
        <f>G32/G25</f>
        <v>0.07078447717742242</v>
      </c>
      <c r="H59" s="10">
        <f>H32/H25</f>
        <v>0.07812897643406118</v>
      </c>
    </row>
    <row r="60" spans="1:8" ht="11.25">
      <c r="A60" s="7" t="s">
        <v>53</v>
      </c>
      <c r="B60" s="7"/>
      <c r="C60" s="10">
        <f>(C33)/C25</f>
        <v>0.01944973307947885</v>
      </c>
      <c r="D60" s="10">
        <f>((D33)/0.75)/D25</f>
        <v>0.021158101281676618</v>
      </c>
      <c r="E60" s="10">
        <f>((E33)/0.5)/E25</f>
        <v>0.018395055361970784</v>
      </c>
      <c r="F60" s="10">
        <f>((F33)/0.25)/F25</f>
        <v>0.018217295353652407</v>
      </c>
      <c r="G60" s="10">
        <f>G33/G25</f>
        <v>0.014238986471904977</v>
      </c>
      <c r="H60" s="10">
        <f>H33/H25</f>
        <v>0.016310609530948515</v>
      </c>
    </row>
    <row r="61" spans="1:8" ht="11.25">
      <c r="A61" s="7" t="s">
        <v>54</v>
      </c>
      <c r="B61" s="7"/>
      <c r="C61" s="10">
        <f>(C36)/(C35)</f>
        <v>0.5049382716049383</v>
      </c>
      <c r="D61" s="10">
        <f>((D36)/0.75)/((D35)/0.75)</f>
        <v>0.4915254237288136</v>
      </c>
      <c r="E61" s="10">
        <f>((E36)/0.5)/((E35)/0.5)</f>
        <v>0.4980457844779453</v>
      </c>
      <c r="F61" s="10">
        <f>(F36/0.25)/(F35/0.25)</f>
        <v>0.5073399882560188</v>
      </c>
      <c r="G61" s="10">
        <f>G36/G35</f>
        <v>0.517453391511305</v>
      </c>
      <c r="H61" s="10">
        <f>H36/H35</f>
        <v>0.38737133808392715</v>
      </c>
    </row>
    <row r="62" spans="1:8" ht="11.25">
      <c r="A62" s="3" t="s">
        <v>55</v>
      </c>
      <c r="B62" s="3"/>
      <c r="C62" s="12">
        <f>(C34)/C25</f>
        <v>0.007764960615223803</v>
      </c>
      <c r="D62" s="12">
        <f>((D34)/0.75)/D25</f>
        <v>0.009056624779081257</v>
      </c>
      <c r="E62" s="12">
        <f>((E34)/0.5)/E25</f>
        <v>0.007993045681913617</v>
      </c>
      <c r="F62" s="12">
        <f>(F34/0.255)/F25</f>
        <v>0.010592422141102757</v>
      </c>
      <c r="G62" s="12">
        <f>G34/G25</f>
        <v>0.007096220003977607</v>
      </c>
      <c r="H62" s="12">
        <f>H34/H25</f>
        <v>0.00706561723510876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64</v>
      </c>
      <c r="D64" s="8">
        <v>61</v>
      </c>
      <c r="E64" s="8">
        <v>60</v>
      </c>
      <c r="F64" s="8">
        <v>54</v>
      </c>
      <c r="G64" s="8">
        <v>53</v>
      </c>
      <c r="H64" s="8">
        <v>44</v>
      </c>
    </row>
    <row r="65" spans="1:8" ht="11.25">
      <c r="A65" s="7" t="s">
        <v>58</v>
      </c>
      <c r="B65" s="7"/>
      <c r="C65" s="8">
        <v>2</v>
      </c>
      <c r="D65" s="8">
        <v>2</v>
      </c>
      <c r="E65" s="8">
        <v>2</v>
      </c>
      <c r="F65" s="8">
        <v>2</v>
      </c>
      <c r="G65" s="8">
        <v>2</v>
      </c>
      <c r="H65" s="8">
        <v>2</v>
      </c>
    </row>
    <row r="66" spans="1:8" ht="11.25">
      <c r="A66" s="7" t="s">
        <v>59</v>
      </c>
      <c r="B66" s="7"/>
      <c r="C66" s="8">
        <f aca="true" t="shared" si="16" ref="C66:H66">C11/C64</f>
        <v>2480.546875</v>
      </c>
      <c r="D66" s="8">
        <f t="shared" si="16"/>
        <v>2925.8688524590166</v>
      </c>
      <c r="E66" s="8">
        <f t="shared" si="16"/>
        <v>2826.883333333333</v>
      </c>
      <c r="F66" s="8">
        <f t="shared" si="16"/>
        <v>2901.3888888888887</v>
      </c>
      <c r="G66" s="8">
        <f t="shared" si="16"/>
        <v>2831.1132075471696</v>
      </c>
      <c r="H66" s="8">
        <f t="shared" si="16"/>
        <v>2692.7727272727275</v>
      </c>
    </row>
    <row r="67" spans="1:8" ht="11.25">
      <c r="A67" s="7" t="s">
        <v>60</v>
      </c>
      <c r="B67" s="7"/>
      <c r="C67" s="8">
        <f aca="true" t="shared" si="17" ref="C67:H67">C15/C64</f>
        <v>3563.3125</v>
      </c>
      <c r="D67" s="8">
        <f t="shared" si="17"/>
        <v>3585.5081967213114</v>
      </c>
      <c r="E67" s="8">
        <f t="shared" si="17"/>
        <v>3910.983333333333</v>
      </c>
      <c r="F67" s="8">
        <f t="shared" si="17"/>
        <v>3988.740740740741</v>
      </c>
      <c r="G67" s="8">
        <f t="shared" si="17"/>
        <v>4012.0377358490564</v>
      </c>
      <c r="H67" s="8">
        <f t="shared" si="17"/>
        <v>3917.2727272727275</v>
      </c>
    </row>
    <row r="68" spans="1:8" ht="11.25">
      <c r="A68" s="3" t="s">
        <v>61</v>
      </c>
      <c r="B68" s="3"/>
      <c r="C68" s="9">
        <f aca="true" t="shared" si="18" ref="C68:H68">C38/C64</f>
        <v>56.390625</v>
      </c>
      <c r="D68" s="9">
        <f t="shared" si="18"/>
        <v>45.24590163934426</v>
      </c>
      <c r="E68" s="9">
        <f t="shared" si="18"/>
        <v>29.966666666666665</v>
      </c>
      <c r="F68" s="9">
        <f t="shared" si="18"/>
        <v>15.537037037037036</v>
      </c>
      <c r="G68" s="9">
        <f t="shared" si="18"/>
        <v>45.905660377358494</v>
      </c>
      <c r="H68" s="9">
        <f t="shared" si="18"/>
        <v>70.3409090909091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0.060023455674542904</v>
      </c>
      <c r="D70" s="10">
        <f>(D9-246849)/249846</f>
        <v>0.07856839813325008</v>
      </c>
      <c r="E70" s="10">
        <f>(E9-261452)/261452</f>
        <v>0.0767597876474458</v>
      </c>
      <c r="F70" s="10">
        <f>(F9-216049)/216049</f>
        <v>0.17285893477868447</v>
      </c>
      <c r="G70" s="10">
        <f>(G9-H9)/H9</f>
        <v>0.22336897464966296</v>
      </c>
      <c r="H70" s="10">
        <f>(H9-219652)/219652</f>
        <v>-0.03219183071403857</v>
      </c>
    </row>
    <row r="71" spans="1:8" ht="11.25">
      <c r="A71" s="7" t="s">
        <v>64</v>
      </c>
      <c r="B71" s="7"/>
      <c r="C71" s="10">
        <f>C11/G11-1</f>
        <v>0.05802104645815698</v>
      </c>
      <c r="D71" s="10">
        <f>D11/154416-1</f>
        <v>0.15582582115842913</v>
      </c>
      <c r="E71" s="10">
        <f>E11/138994-1</f>
        <v>0.2202900844640776</v>
      </c>
      <c r="F71" s="10">
        <f>F11/114265-1</f>
        <v>0.3711547718023891</v>
      </c>
      <c r="G71" s="10">
        <f>G11/H11-1</f>
        <v>0.2664286558295774</v>
      </c>
      <c r="H71" s="10">
        <f>H11/148885-1</f>
        <v>-0.20420458743325387</v>
      </c>
    </row>
    <row r="72" spans="1:8" ht="11.25">
      <c r="A72" s="7"/>
      <c r="B72" s="7" t="s">
        <v>13</v>
      </c>
      <c r="C72" s="10">
        <f>C12/G12-1</f>
        <v>0.1236369391469494</v>
      </c>
      <c r="D72" s="10">
        <f>D12/130523-1</f>
        <v>0.18923867824061658</v>
      </c>
      <c r="E72" s="10">
        <f>E12/116221-1</f>
        <v>0.21506440316293962</v>
      </c>
      <c r="F72" s="10">
        <f>F12/108392-1</f>
        <v>0.19003247472138174</v>
      </c>
      <c r="G72" s="10">
        <f>(G12-H12)/H12</f>
        <v>0.13080750232658028</v>
      </c>
      <c r="H72" s="10">
        <f>(H12-99695)/99695</f>
        <v>0.12093886353377803</v>
      </c>
    </row>
    <row r="73" spans="1:8" ht="11.25">
      <c r="A73" s="7"/>
      <c r="B73" s="7" t="s">
        <v>14</v>
      </c>
      <c r="C73" s="10">
        <f>C13/G13-1</f>
        <v>-0.2921576080070949</v>
      </c>
      <c r="D73" s="10">
        <f>D13/23893-1</f>
        <v>-0.026702381450634083</v>
      </c>
      <c r="E73" s="10">
        <f>E13/22773-1</f>
        <v>0.2469591182540729</v>
      </c>
      <c r="F73" s="10">
        <f>F13/5873-1</f>
        <v>3.7139451728247916</v>
      </c>
      <c r="G73" s="10">
        <f>(G13-H13)/H13</f>
        <v>2.5184249628528974</v>
      </c>
      <c r="H73" s="10">
        <f>(H13-49189)/49189</f>
        <v>-0.8631807924535974</v>
      </c>
    </row>
    <row r="74" spans="1:8" ht="11.25">
      <c r="A74" s="7" t="s">
        <v>65</v>
      </c>
      <c r="B74" s="7"/>
      <c r="C74" s="10">
        <f>C15/G15-1</f>
        <v>0.07248939512222652</v>
      </c>
      <c r="D74" s="10">
        <f>D15/198366-1</f>
        <v>0.10258814514584147</v>
      </c>
      <c r="E74" s="10">
        <f>E15/216342-1</f>
        <v>0.08466687004834927</v>
      </c>
      <c r="F74" s="10">
        <f>F15/183176-1</f>
        <v>0.1758745687207932</v>
      </c>
      <c r="G74" s="10">
        <f>G15/H15-1</f>
        <v>0.2336853098166627</v>
      </c>
      <c r="H74" s="10">
        <f>H15/185460-1</f>
        <v>-0.07063517739674319</v>
      </c>
    </row>
    <row r="75" spans="1:8" ht="11.25">
      <c r="A75" s="7"/>
      <c r="B75" s="7" t="s">
        <v>13</v>
      </c>
      <c r="C75" s="10">
        <f>C16/H16-1</f>
        <v>0.32809114119590643</v>
      </c>
      <c r="D75" s="10">
        <f>D16/156030-1</f>
        <v>0.13355124014612585</v>
      </c>
      <c r="E75" s="10">
        <f>E16/174202-1</f>
        <v>0.08455126806810487</v>
      </c>
      <c r="F75" s="10">
        <f>F16/145899-1</f>
        <v>0.14798593547591143</v>
      </c>
      <c r="G75" s="10">
        <f>(G16-H16)/H16</f>
        <v>0.21724702668297252</v>
      </c>
      <c r="H75" s="10">
        <f>(H16-109653)/109653</f>
        <v>0.27517714973598534</v>
      </c>
    </row>
    <row r="76" spans="1:8" ht="11.25">
      <c r="A76" s="7"/>
      <c r="B76" s="7" t="s">
        <v>14</v>
      </c>
      <c r="C76" s="10">
        <f>C20/G20-1</f>
        <v>-0.0020031107131074366</v>
      </c>
      <c r="D76" s="10">
        <f>D20/42336-1</f>
        <v>-0.011526832955404354</v>
      </c>
      <c r="E76" s="10">
        <f>E20/42140-1</f>
        <v>0.08514475557664936</v>
      </c>
      <c r="F76" s="10">
        <f>F20/37277-1</f>
        <v>0.2850283016337152</v>
      </c>
      <c r="G76" s="10">
        <f>(G20-H20)/H20</f>
        <v>0.30433713460178896</v>
      </c>
      <c r="H76" s="10">
        <f>(H20-75807)/75807</f>
        <v>-0.5708443811257535</v>
      </c>
    </row>
    <row r="77" spans="1:8" ht="11.25">
      <c r="A77" s="7" t="s">
        <v>66</v>
      </c>
      <c r="B77" s="7"/>
      <c r="C77" s="10">
        <f>(C23-G23)/G23</f>
        <v>0.1389541715628672</v>
      </c>
      <c r="D77" s="10">
        <f>(D23-23133)/23133</f>
        <v>0.13651493537370857</v>
      </c>
      <c r="E77" s="10">
        <f>(E23-22386)/22386</f>
        <v>0.14477798624140087</v>
      </c>
      <c r="F77" s="10">
        <f>(F23-21876)/21876</f>
        <v>0.12758273907478515</v>
      </c>
      <c r="G77" s="10">
        <f>(G23-H23)/H23</f>
        <v>0.1050922919951767</v>
      </c>
      <c r="H77" s="10">
        <f>(H23-16907)/16907</f>
        <v>0.275329745076004</v>
      </c>
    </row>
    <row r="78" spans="1:8" ht="11.25">
      <c r="A78" s="3" t="s">
        <v>67</v>
      </c>
      <c r="B78" s="3"/>
      <c r="C78" s="12">
        <f>(C38-G38)/G38</f>
        <v>0.4833538840937115</v>
      </c>
      <c r="D78" s="12">
        <f>D38/1643-1</f>
        <v>0.6798539257455873</v>
      </c>
      <c r="E78" s="12">
        <f>E38/896-1</f>
        <v>1.0066964285714284</v>
      </c>
      <c r="F78" s="12">
        <f>F38/314-1</f>
        <v>1.6719745222929938</v>
      </c>
      <c r="G78" s="12">
        <f>(G38-H38)/H38</f>
        <v>-0.21389337641357029</v>
      </c>
      <c r="H78" s="12">
        <f>(H38-3095)/3095</f>
        <v>0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2002-05-02T19:15:57Z</cp:lastPrinted>
  <dcterms:created xsi:type="dcterms:W3CDTF">2002-03-08T15:14:34Z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