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ipan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<sst xmlns="http://schemas.openxmlformats.org/spreadsheetml/2006/main" count="80" uniqueCount="68">
  <si>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18-10   BANCO INTERNACIONAL DE PANAMA,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</si>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</sst>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00390625" style="1" customWidth="1"/>
    <col min="2" max="2" width="34.421875" style="1" customWidth="1"/>
    <col min="3" max="3" width="11.28125" style="1" customWidth="1"/>
    <col min="4" max="5" width="9.8515625" style="1" customWidth="1"/>
    <col min="6" max="6" width="9.140625" style="1" customWidth="1"/>
    <col min="7" max="8" width="11.851562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472418</v>
      </c>
      <c r="D9" s="8">
        <v>471555</v>
      </c>
      <c r="E9" s="8">
        <v>454369</v>
      </c>
      <c r="F9" s="8">
        <v>434377</v>
      </c>
      <c r="G9" s="8">
        <v>431236</v>
      </c>
      <c r="H9" s="8">
        <v>387353</v>
      </c>
    </row>
    <row r="10" spans="1:8" ht="11.25">
      <c r="A10" s="7" t="s">
        <v>11</v>
      </c>
      <c r="B10" s="7"/>
      <c r="C10" s="8">
        <v>65333</v>
      </c>
      <c r="D10" s="8">
        <v>55382</v>
      </c>
      <c r="E10" s="8">
        <v>70653</v>
      </c>
      <c r="F10" s="8">
        <v>59244</v>
      </c>
      <c r="G10" s="8">
        <v>53987</v>
      </c>
      <c r="H10" s="8">
        <v>75617</v>
      </c>
    </row>
    <row r="11" spans="1:8" ht="11.25">
      <c r="A11" s="7" t="s">
        <v>12</v>
      </c>
      <c r="B11" s="7"/>
      <c r="C11" s="8">
        <f aca="true" t="shared" si="0" ref="C11:H11">C12+C13</f>
        <v>302545</v>
      </c>
      <c r="D11" s="8">
        <f t="shared" si="0"/>
        <v>306448</v>
      </c>
      <c r="E11" s="8">
        <f t="shared" si="0"/>
        <v>303510</v>
      </c>
      <c r="F11" s="8">
        <f t="shared" si="0"/>
        <v>291325</v>
      </c>
      <c r="G11" s="8">
        <f t="shared" si="0"/>
        <v>294417</v>
      </c>
      <c r="H11" s="8">
        <f t="shared" si="0"/>
        <v>252610</v>
      </c>
    </row>
    <row r="12" spans="1:8" ht="11.25">
      <c r="A12" s="7"/>
      <c r="B12" s="7" t="s">
        <v>13</v>
      </c>
      <c r="C12" s="8">
        <v>299164</v>
      </c>
      <c r="D12" s="8">
        <v>303663</v>
      </c>
      <c r="E12" s="8">
        <v>300575</v>
      </c>
      <c r="F12" s="8">
        <v>290688</v>
      </c>
      <c r="G12" s="8">
        <v>293866</v>
      </c>
      <c r="H12" s="8">
        <v>247649</v>
      </c>
    </row>
    <row r="13" spans="1:8" ht="11.25">
      <c r="A13" s="7"/>
      <c r="B13" s="7" t="s">
        <v>14</v>
      </c>
      <c r="C13" s="8">
        <v>3381</v>
      </c>
      <c r="D13" s="8">
        <v>2785</v>
      </c>
      <c r="E13" s="8">
        <v>2935</v>
      </c>
      <c r="F13" s="8">
        <v>637</v>
      </c>
      <c r="G13" s="8">
        <v>551</v>
      </c>
      <c r="H13" s="8">
        <v>4961</v>
      </c>
    </row>
    <row r="14" spans="1:8" ht="11.25">
      <c r="A14" s="7" t="s">
        <v>15</v>
      </c>
      <c r="B14" s="7"/>
      <c r="C14" s="8">
        <v>86987</v>
      </c>
      <c r="D14" s="8">
        <v>91529</v>
      </c>
      <c r="E14" s="8">
        <v>63536</v>
      </c>
      <c r="F14" s="8">
        <v>66135</v>
      </c>
      <c r="G14" s="8">
        <v>66589</v>
      </c>
      <c r="H14" s="8">
        <v>46880</v>
      </c>
    </row>
    <row r="15" spans="1:8" ht="11.25">
      <c r="A15" s="7" t="s">
        <v>16</v>
      </c>
      <c r="B15" s="7"/>
      <c r="C15" s="8">
        <f aca="true" t="shared" si="1" ref="C15:H15">C16+C20</f>
        <v>385540</v>
      </c>
      <c r="D15" s="8">
        <f t="shared" si="1"/>
        <v>371758</v>
      </c>
      <c r="E15" s="8">
        <f t="shared" si="1"/>
        <v>350098</v>
      </c>
      <c r="F15" s="8">
        <f t="shared" si="1"/>
        <v>337743</v>
      </c>
      <c r="G15" s="8">
        <f t="shared" si="1"/>
        <v>340287</v>
      </c>
      <c r="H15" s="8">
        <f t="shared" si="1"/>
        <v>318390</v>
      </c>
    </row>
    <row r="16" spans="1:8" ht="11.25">
      <c r="A16" s="7"/>
      <c r="B16" s="7" t="s">
        <v>13</v>
      </c>
      <c r="C16" s="8">
        <f aca="true" t="shared" si="2" ref="C16:H16">SUM(C17:C19)</f>
        <v>345307</v>
      </c>
      <c r="D16" s="8">
        <f t="shared" si="2"/>
        <v>336487</v>
      </c>
      <c r="E16" s="8">
        <f t="shared" si="2"/>
        <v>316959</v>
      </c>
      <c r="F16" s="8">
        <f t="shared" si="2"/>
        <v>303584</v>
      </c>
      <c r="G16" s="8">
        <f t="shared" si="2"/>
        <v>302308</v>
      </c>
      <c r="H16" s="8">
        <f t="shared" si="2"/>
        <v>265541</v>
      </c>
    </row>
    <row r="17" spans="1:8" ht="11.25">
      <c r="A17" s="7"/>
      <c r="B17" s="7" t="s">
        <v>17</v>
      </c>
      <c r="C17" s="8"/>
      <c r="D17" s="8"/>
      <c r="E17" s="8"/>
      <c r="F17" s="8"/>
      <c r="G17" s="8">
        <v>0</v>
      </c>
      <c r="H17" s="8">
        <v>0</v>
      </c>
    </row>
    <row r="18" spans="1:8" ht="11.25">
      <c r="A18" s="7"/>
      <c r="B18" s="7" t="s">
        <v>18</v>
      </c>
      <c r="C18" s="8">
        <v>330127</v>
      </c>
      <c r="D18" s="8">
        <v>332373</v>
      </c>
      <c r="E18" s="8">
        <v>306508</v>
      </c>
      <c r="F18" s="8">
        <v>293375</v>
      </c>
      <c r="G18" s="8">
        <v>297316</v>
      </c>
      <c r="H18" s="8">
        <v>261531</v>
      </c>
    </row>
    <row r="19" spans="1:8" ht="11.25">
      <c r="A19" s="7"/>
      <c r="B19" s="7" t="s">
        <v>19</v>
      </c>
      <c r="C19" s="8">
        <v>15180</v>
      </c>
      <c r="D19" s="8">
        <v>4114</v>
      </c>
      <c r="E19" s="8">
        <v>10451</v>
      </c>
      <c r="F19" s="8">
        <v>10209</v>
      </c>
      <c r="G19" s="8">
        <v>4992</v>
      </c>
      <c r="H19" s="8">
        <v>4010</v>
      </c>
    </row>
    <row r="20" spans="1:8" ht="11.25">
      <c r="A20" s="7"/>
      <c r="B20" s="7" t="s">
        <v>14</v>
      </c>
      <c r="C20" s="8">
        <f aca="true" t="shared" si="3" ref="C20:H20">SUM(C21:C22)</f>
        <v>40233</v>
      </c>
      <c r="D20" s="8">
        <f t="shared" si="3"/>
        <v>35271</v>
      </c>
      <c r="E20" s="8">
        <f t="shared" si="3"/>
        <v>33139</v>
      </c>
      <c r="F20" s="8">
        <f t="shared" si="3"/>
        <v>34159</v>
      </c>
      <c r="G20" s="8">
        <f t="shared" si="3"/>
        <v>37979</v>
      </c>
      <c r="H20" s="8">
        <f t="shared" si="3"/>
        <v>52849</v>
      </c>
    </row>
    <row r="21" spans="1:8" ht="11.25">
      <c r="A21" s="7"/>
      <c r="B21" s="7" t="s">
        <v>18</v>
      </c>
      <c r="C21" s="8">
        <v>40233</v>
      </c>
      <c r="D21" s="8">
        <v>35271</v>
      </c>
      <c r="E21" s="8">
        <v>33139</v>
      </c>
      <c r="F21" s="8">
        <v>34159</v>
      </c>
      <c r="G21" s="8">
        <v>37979</v>
      </c>
      <c r="H21" s="8">
        <v>42857</v>
      </c>
    </row>
    <row r="22" spans="1:8" ht="11.25">
      <c r="A22" s="7"/>
      <c r="B22" s="7" t="s">
        <v>19</v>
      </c>
      <c r="C22" s="8"/>
      <c r="D22" s="8"/>
      <c r="E22" s="8"/>
      <c r="F22" s="8"/>
      <c r="G22" s="8">
        <v>0</v>
      </c>
      <c r="H22" s="8">
        <v>9992</v>
      </c>
    </row>
    <row r="23" spans="1:8" ht="11.25">
      <c r="A23" s="3" t="s">
        <v>20</v>
      </c>
      <c r="B23" s="3"/>
      <c r="C23" s="9">
        <v>39422</v>
      </c>
      <c r="D23" s="9">
        <v>42922</v>
      </c>
      <c r="E23" s="9">
        <v>42042</v>
      </c>
      <c r="F23" s="9">
        <v>41117</v>
      </c>
      <c r="G23" s="9">
        <v>40624</v>
      </c>
      <c r="H23" s="9">
        <v>38874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451827</v>
      </c>
      <c r="D25" s="8">
        <v>455429</v>
      </c>
      <c r="E25" s="8">
        <v>438027</v>
      </c>
      <c r="F25" s="8">
        <v>415125</v>
      </c>
      <c r="G25" s="8">
        <f>(G9+H9)/2</f>
        <v>409294.5</v>
      </c>
      <c r="H25" s="8">
        <f>(H9+338403)/2</f>
        <v>362878</v>
      </c>
    </row>
    <row r="26" spans="1:8" ht="11.25">
      <c r="A26" s="7" t="s">
        <v>22</v>
      </c>
      <c r="B26" s="7"/>
      <c r="C26" s="8">
        <f aca="true" t="shared" si="4" ref="C26:H26">C27+C28</f>
        <v>375269</v>
      </c>
      <c r="D26" s="8">
        <f t="shared" si="4"/>
        <v>367389</v>
      </c>
      <c r="E26" s="8">
        <f t="shared" si="4"/>
        <v>346749</v>
      </c>
      <c r="F26" s="8">
        <f t="shared" si="4"/>
        <v>333604</v>
      </c>
      <c r="G26" s="8">
        <f t="shared" si="4"/>
        <v>330248</v>
      </c>
      <c r="H26" s="8">
        <f t="shared" si="4"/>
        <v>279930</v>
      </c>
    </row>
    <row r="27" spans="1:8" ht="11.25">
      <c r="A27" s="7"/>
      <c r="B27" s="7" t="s">
        <v>12</v>
      </c>
      <c r="C27" s="8">
        <f>+(C11+G11)/2</f>
        <v>298481</v>
      </c>
      <c r="D27" s="8">
        <v>298056</v>
      </c>
      <c r="E27" s="8">
        <v>290783</v>
      </c>
      <c r="F27" s="8">
        <v>276699</v>
      </c>
      <c r="G27" s="8">
        <f>(G11+H11)/2</f>
        <v>273513.5</v>
      </c>
      <c r="H27" s="8">
        <f>(H11+213626)/2</f>
        <v>233118</v>
      </c>
    </row>
    <row r="28" spans="1:8" ht="11.25">
      <c r="A28" s="7"/>
      <c r="B28" s="7" t="s">
        <v>15</v>
      </c>
      <c r="C28" s="8">
        <f>+(C14+G14)/2</f>
        <v>76788</v>
      </c>
      <c r="D28" s="8">
        <v>69333</v>
      </c>
      <c r="E28" s="8">
        <v>55966</v>
      </c>
      <c r="F28" s="8">
        <v>56905</v>
      </c>
      <c r="G28" s="8">
        <f>(G14+H14)/2</f>
        <v>56734.5</v>
      </c>
      <c r="H28" s="8">
        <f>(H14+46744)/2</f>
        <v>46812</v>
      </c>
    </row>
    <row r="29" spans="1:8" ht="11.25">
      <c r="A29" s="3" t="s">
        <v>20</v>
      </c>
      <c r="B29" s="3"/>
      <c r="C29" s="9">
        <f>+(C23+G23)/2</f>
        <v>40023</v>
      </c>
      <c r="D29" s="9">
        <v>42061</v>
      </c>
      <c r="E29" s="9">
        <v>41478</v>
      </c>
      <c r="F29" s="9">
        <v>40303</v>
      </c>
      <c r="G29" s="9">
        <f>(G23+H23)/2</f>
        <v>39749</v>
      </c>
      <c r="H29" s="9">
        <f>(H23+27579)/2</f>
        <v>33226.5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39245</v>
      </c>
      <c r="D31" s="8">
        <v>29017</v>
      </c>
      <c r="E31" s="8">
        <v>18845</v>
      </c>
      <c r="F31" s="8">
        <v>9199</v>
      </c>
      <c r="G31" s="8">
        <v>33043</v>
      </c>
      <c r="H31" s="8">
        <v>29860</v>
      </c>
    </row>
    <row r="32" spans="1:8" ht="11.25">
      <c r="A32" s="7" t="s">
        <v>25</v>
      </c>
      <c r="B32" s="7"/>
      <c r="C32" s="8">
        <v>26929</v>
      </c>
      <c r="D32" s="8">
        <v>19009</v>
      </c>
      <c r="E32" s="8">
        <v>12207</v>
      </c>
      <c r="F32" s="8">
        <v>5951</v>
      </c>
      <c r="G32" s="8">
        <v>23028</v>
      </c>
      <c r="H32" s="8">
        <v>19999</v>
      </c>
    </row>
    <row r="33" spans="1:8" ht="11.25">
      <c r="A33" s="7" t="s">
        <v>26</v>
      </c>
      <c r="B33" s="7"/>
      <c r="C33" s="8">
        <f aca="true" t="shared" si="5" ref="C33:H33">C31-C32</f>
        <v>12316</v>
      </c>
      <c r="D33" s="8">
        <f t="shared" si="5"/>
        <v>10008</v>
      </c>
      <c r="E33" s="8">
        <f t="shared" si="5"/>
        <v>6638</v>
      </c>
      <c r="F33" s="8">
        <f t="shared" si="5"/>
        <v>3248</v>
      </c>
      <c r="G33" s="8">
        <f t="shared" si="5"/>
        <v>10015</v>
      </c>
      <c r="H33" s="8">
        <f t="shared" si="5"/>
        <v>9861</v>
      </c>
    </row>
    <row r="34" spans="1:8" ht="11.25">
      <c r="A34" s="7" t="s">
        <v>27</v>
      </c>
      <c r="B34" s="7"/>
      <c r="C34" s="8">
        <v>5753</v>
      </c>
      <c r="D34" s="8">
        <v>3438</v>
      </c>
      <c r="E34" s="8">
        <v>2131</v>
      </c>
      <c r="F34" s="8">
        <v>1072</v>
      </c>
      <c r="G34" s="8">
        <v>5850</v>
      </c>
      <c r="H34" s="8">
        <v>5390</v>
      </c>
    </row>
    <row r="35" spans="1:8" ht="11.25">
      <c r="A35" s="7" t="s">
        <v>28</v>
      </c>
      <c r="B35" s="7"/>
      <c r="C35" s="8">
        <f aca="true" t="shared" si="6" ref="C35:H35">C33+C34</f>
        <v>18069</v>
      </c>
      <c r="D35" s="8">
        <f t="shared" si="6"/>
        <v>13446</v>
      </c>
      <c r="E35" s="8">
        <f t="shared" si="6"/>
        <v>8769</v>
      </c>
      <c r="F35" s="8">
        <f t="shared" si="6"/>
        <v>4320</v>
      </c>
      <c r="G35" s="8">
        <f t="shared" si="6"/>
        <v>15865</v>
      </c>
      <c r="H35" s="8">
        <f t="shared" si="6"/>
        <v>15251</v>
      </c>
    </row>
    <row r="36" spans="1:8" ht="11.25">
      <c r="A36" s="7" t="s">
        <v>29</v>
      </c>
      <c r="B36" s="7"/>
      <c r="C36" s="8">
        <v>11779</v>
      </c>
      <c r="D36" s="8">
        <v>9761</v>
      </c>
      <c r="E36" s="8">
        <v>5602</v>
      </c>
      <c r="F36" s="8">
        <v>2374</v>
      </c>
      <c r="G36" s="8">
        <v>10686</v>
      </c>
      <c r="H36" s="8">
        <v>7610</v>
      </c>
    </row>
    <row r="37" spans="1:8" ht="11.25">
      <c r="A37" s="7" t="s">
        <v>30</v>
      </c>
      <c r="B37" s="7"/>
      <c r="C37" s="8">
        <f aca="true" t="shared" si="7" ref="C37:H37">C35-C36</f>
        <v>6290</v>
      </c>
      <c r="D37" s="8">
        <f t="shared" si="7"/>
        <v>3685</v>
      </c>
      <c r="E37" s="8">
        <f t="shared" si="7"/>
        <v>3167</v>
      </c>
      <c r="F37" s="8">
        <f t="shared" si="7"/>
        <v>1946</v>
      </c>
      <c r="G37" s="8">
        <f t="shared" si="7"/>
        <v>5179</v>
      </c>
      <c r="H37" s="8">
        <f t="shared" si="7"/>
        <v>7641</v>
      </c>
    </row>
    <row r="38" spans="1:8" ht="11.25">
      <c r="A38" s="3" t="s">
        <v>31</v>
      </c>
      <c r="B38" s="3"/>
      <c r="C38" s="9">
        <v>1970</v>
      </c>
      <c r="D38" s="9">
        <v>4675</v>
      </c>
      <c r="E38" s="9">
        <v>3167</v>
      </c>
      <c r="F38" s="9">
        <v>1616</v>
      </c>
      <c r="G38" s="9">
        <v>4760</v>
      </c>
      <c r="H38" s="9">
        <v>6041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8403</v>
      </c>
      <c r="D40" s="8">
        <v>10164</v>
      </c>
      <c r="E40" s="8">
        <v>5076</v>
      </c>
      <c r="F40" s="8">
        <v>6667</v>
      </c>
      <c r="G40" s="8">
        <v>4809</v>
      </c>
      <c r="H40" s="8">
        <v>1194</v>
      </c>
    </row>
    <row r="41" spans="1:8" ht="11.25">
      <c r="A41" s="7" t="s">
        <v>34</v>
      </c>
      <c r="B41" s="7"/>
      <c r="C41" s="8">
        <v>10493</v>
      </c>
      <c r="D41" s="8">
        <v>12643</v>
      </c>
      <c r="E41" s="8">
        <v>13199</v>
      </c>
      <c r="F41" s="8">
        <v>11924</v>
      </c>
      <c r="G41" s="8">
        <v>6495</v>
      </c>
      <c r="H41" s="8">
        <v>2695</v>
      </c>
    </row>
    <row r="42" spans="1:8" ht="11.25">
      <c r="A42" s="7" t="s">
        <v>35</v>
      </c>
      <c r="B42" s="7"/>
      <c r="C42" s="10">
        <f aca="true" t="shared" si="8" ref="C42:H42">C40/C11</f>
        <v>0.027774380670644038</v>
      </c>
      <c r="D42" s="10">
        <f t="shared" si="8"/>
        <v>0.03316712786508641</v>
      </c>
      <c r="E42" s="10">
        <f t="shared" si="8"/>
        <v>0.016724325392903035</v>
      </c>
      <c r="F42" s="10">
        <f t="shared" si="8"/>
        <v>0.02288509396721874</v>
      </c>
      <c r="G42" s="10">
        <f t="shared" si="8"/>
        <v>0.016333975279960056</v>
      </c>
      <c r="H42" s="10">
        <f t="shared" si="8"/>
        <v>0.004726653735006532</v>
      </c>
    </row>
    <row r="43" spans="1:8" ht="11.25">
      <c r="A43" s="7" t="s">
        <v>36</v>
      </c>
      <c r="B43" s="7"/>
      <c r="C43" s="10">
        <f aca="true" t="shared" si="9" ref="C43:H43">C41/C11</f>
        <v>0.034682443933960236</v>
      </c>
      <c r="D43" s="10">
        <f t="shared" si="9"/>
        <v>0.041256591656659534</v>
      </c>
      <c r="E43" s="10">
        <f t="shared" si="9"/>
        <v>0.0434878587196468</v>
      </c>
      <c r="F43" s="10">
        <f t="shared" si="9"/>
        <v>0.04093023255813953</v>
      </c>
      <c r="G43" s="10">
        <f t="shared" si="9"/>
        <v>0.022060546775491904</v>
      </c>
      <c r="H43" s="10">
        <f t="shared" si="9"/>
        <v>0.010668619611258461</v>
      </c>
    </row>
    <row r="44" spans="1:8" ht="11.25">
      <c r="A44" s="11" t="s">
        <v>37</v>
      </c>
      <c r="B44" s="7"/>
      <c r="C44" s="10">
        <f aca="true" t="shared" si="10" ref="C44:H44">(C40+C41)/C11</f>
        <v>0.06245682460460427</v>
      </c>
      <c r="D44" s="10">
        <f t="shared" si="10"/>
        <v>0.07442371952174594</v>
      </c>
      <c r="E44" s="10">
        <f t="shared" si="10"/>
        <v>0.06021218411254983</v>
      </c>
      <c r="F44" s="10">
        <f t="shared" si="10"/>
        <v>0.06381532652535828</v>
      </c>
      <c r="G44" s="10">
        <f t="shared" si="10"/>
        <v>0.03839452205545196</v>
      </c>
      <c r="H44" s="10">
        <f t="shared" si="10"/>
        <v>0.015395273346264993</v>
      </c>
    </row>
    <row r="45" spans="1:8" ht="11.25">
      <c r="A45" s="7" t="s">
        <v>38</v>
      </c>
      <c r="B45" s="7"/>
      <c r="C45" s="10">
        <v>0.0172</v>
      </c>
      <c r="D45" s="10">
        <v>0.0142</v>
      </c>
      <c r="E45" s="10">
        <v>0.0133</v>
      </c>
      <c r="F45" s="10">
        <v>0.0127</v>
      </c>
      <c r="G45" s="10">
        <v>0.0115</v>
      </c>
      <c r="H45" s="10">
        <v>0.008</v>
      </c>
    </row>
    <row r="46" spans="1:8" ht="11.25">
      <c r="A46" s="3" t="s">
        <v>39</v>
      </c>
      <c r="B46" s="3"/>
      <c r="C46" s="12">
        <v>0.2758</v>
      </c>
      <c r="D46" s="12">
        <v>0.1914</v>
      </c>
      <c r="E46" s="12">
        <v>0.2209</v>
      </c>
      <c r="F46" s="12">
        <v>0.1993</v>
      </c>
      <c r="G46" s="12">
        <v>0.2987</v>
      </c>
      <c r="H46" s="12">
        <v>0.5184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0.10120349547662323</v>
      </c>
      <c r="D48" s="10">
        <f t="shared" si="11"/>
        <v>0.10785045366943316</v>
      </c>
      <c r="E48" s="10">
        <f t="shared" si="11"/>
        <v>0.1145415016101524</v>
      </c>
      <c r="F48" s="10">
        <f t="shared" si="11"/>
        <v>0.11502545739383427</v>
      </c>
      <c r="G48" s="10">
        <f t="shared" si="11"/>
        <v>0.11252998565120802</v>
      </c>
      <c r="H48" s="10">
        <f t="shared" si="11"/>
        <v>0.12980066112391064</v>
      </c>
    </row>
    <row r="49" spans="1:8" ht="11.25">
      <c r="A49" s="3" t="s">
        <v>42</v>
      </c>
      <c r="B49" s="3"/>
      <c r="C49" s="12">
        <f aca="true" t="shared" si="12" ref="C49:H49">C23/C11</f>
        <v>0.1303012774959097</v>
      </c>
      <c r="D49" s="12">
        <f t="shared" si="12"/>
        <v>0.1400629144259385</v>
      </c>
      <c r="E49" s="12">
        <f t="shared" si="12"/>
        <v>0.13851932391025007</v>
      </c>
      <c r="F49" s="12">
        <f t="shared" si="12"/>
        <v>0.14113790440229984</v>
      </c>
      <c r="G49" s="12">
        <f t="shared" si="12"/>
        <v>0.1379811627725301</v>
      </c>
      <c r="H49" s="12">
        <f t="shared" si="12"/>
        <v>0.15388939471913227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0.16945842195362348</v>
      </c>
      <c r="D51" s="13">
        <f t="shared" si="13"/>
        <v>0.14897325679608778</v>
      </c>
      <c r="E51" s="13">
        <f t="shared" si="13"/>
        <v>0.20180920770755617</v>
      </c>
      <c r="F51" s="13">
        <f t="shared" si="13"/>
        <v>0.1754114815110898</v>
      </c>
      <c r="G51" s="13">
        <f t="shared" si="13"/>
        <v>0.15865137369338236</v>
      </c>
      <c r="H51" s="13">
        <f t="shared" si="13"/>
        <v>0.23749803699864946</v>
      </c>
    </row>
    <row r="52" spans="1:8" ht="11.25">
      <c r="A52" s="7" t="s">
        <v>45</v>
      </c>
      <c r="B52" s="7"/>
      <c r="C52" s="13">
        <f aca="true" t="shared" si="14" ref="C52:H52">C10/C9</f>
        <v>0.1382948998556363</v>
      </c>
      <c r="D52" s="13">
        <f t="shared" si="14"/>
        <v>0.117445472956495</v>
      </c>
      <c r="E52" s="13">
        <f t="shared" si="14"/>
        <v>0.15549696392139428</v>
      </c>
      <c r="F52" s="13">
        <f t="shared" si="14"/>
        <v>0.1363884367726652</v>
      </c>
      <c r="G52" s="13">
        <f t="shared" si="14"/>
        <v>0.1251913105584877</v>
      </c>
      <c r="H52" s="13">
        <f t="shared" si="14"/>
        <v>0.19521470080262707</v>
      </c>
    </row>
    <row r="53" spans="1:8" ht="11.25">
      <c r="A53" s="3" t="s">
        <v>46</v>
      </c>
      <c r="B53" s="3"/>
      <c r="C53" s="14">
        <f aca="true" t="shared" si="15" ref="C53:H53">(C10+C14)/C15</f>
        <v>0.3950822223375006</v>
      </c>
      <c r="D53" s="14">
        <f t="shared" si="15"/>
        <v>0.3951791219018824</v>
      </c>
      <c r="E53" s="14">
        <f t="shared" si="15"/>
        <v>0.3832898217070649</v>
      </c>
      <c r="F53" s="14">
        <f t="shared" si="15"/>
        <v>0.37122605057691793</v>
      </c>
      <c r="G53" s="14">
        <f t="shared" si="15"/>
        <v>0.3543361926844105</v>
      </c>
      <c r="H53" s="14">
        <f t="shared" si="15"/>
        <v>0.3847388423003235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0.005249567643477079</v>
      </c>
      <c r="D55" s="10">
        <f>((D38)/0.75)/D26</f>
        <v>0.016966575845584198</v>
      </c>
      <c r="E55" s="10">
        <f>((E38)/0.5)/E26</f>
        <v>0.018266815477477945</v>
      </c>
      <c r="F55" s="10">
        <f>((F38)/0.25)/F26</f>
        <v>0.01937626647162504</v>
      </c>
      <c r="G55" s="10">
        <f>G38/G26</f>
        <v>0.01441341052784574</v>
      </c>
      <c r="H55" s="10">
        <f>H38/H26</f>
        <v>0.021580395098774692</v>
      </c>
    </row>
    <row r="56" spans="1:8" ht="11.25">
      <c r="A56" s="7" t="s">
        <v>49</v>
      </c>
      <c r="B56" s="7"/>
      <c r="C56" s="10">
        <f>(C38)/C25</f>
        <v>0.004360075869746607</v>
      </c>
      <c r="D56" s="10">
        <f>((D38)/0.75)/D25</f>
        <v>0.013686729069368294</v>
      </c>
      <c r="E56" s="10">
        <f>((E38)/0.5)/E25</f>
        <v>0.014460295826512978</v>
      </c>
      <c r="F56" s="10">
        <f>((F38)/0.25)/F25</f>
        <v>0.015571213489912677</v>
      </c>
      <c r="G56" s="10">
        <f>G38/G25</f>
        <v>0.011629767807776551</v>
      </c>
      <c r="H56" s="10">
        <f>H38/H25</f>
        <v>0.016647468295129492</v>
      </c>
    </row>
    <row r="57" spans="1:8" ht="11.25">
      <c r="A57" s="7" t="s">
        <v>50</v>
      </c>
      <c r="B57" s="7"/>
      <c r="C57" s="10">
        <f>(C38)/C29</f>
        <v>0.049221697523923746</v>
      </c>
      <c r="D57" s="10">
        <f>((D38)/0.75)/D29</f>
        <v>0.1481974592456987</v>
      </c>
      <c r="E57" s="10">
        <f>((E38)/0.5)/E29</f>
        <v>0.1527074593760548</v>
      </c>
      <c r="F57" s="10">
        <f>((F38)/0.25)/F29</f>
        <v>0.160385082996303</v>
      </c>
      <c r="G57" s="10">
        <f>G38/G29</f>
        <v>0.11975144028780599</v>
      </c>
      <c r="H57" s="10">
        <f>H38/H29</f>
        <v>0.1818127097346997</v>
      </c>
    </row>
    <row r="58" spans="1:8" ht="11.25">
      <c r="A58" s="7" t="s">
        <v>51</v>
      </c>
      <c r="B58" s="7"/>
      <c r="C58" s="10">
        <f>(C31)/C25</f>
        <v>0.08685846574020588</v>
      </c>
      <c r="D58" s="10">
        <f>((D31)/0.75)/D25</f>
        <v>0.08495140479269729</v>
      </c>
      <c r="E58" s="10">
        <f>((E31)/0.5)/E25</f>
        <v>0.08604492417134103</v>
      </c>
      <c r="F58" s="10">
        <f>((F31)/0.25)/F25</f>
        <v>0.08863836193917494</v>
      </c>
      <c r="G58" s="10">
        <f>G31/G25</f>
        <v>0.08073160035133627</v>
      </c>
      <c r="H58" s="10">
        <f>H31/H25</f>
        <v>0.08228660872249076</v>
      </c>
    </row>
    <row r="59" spans="1:8" ht="11.25">
      <c r="A59" s="7" t="s">
        <v>52</v>
      </c>
      <c r="B59" s="7"/>
      <c r="C59" s="10">
        <f>(C32)/C25</f>
        <v>0.05960024522660222</v>
      </c>
      <c r="D59" s="10">
        <f>((D32)/0.75)/D25</f>
        <v>0.05565155783521324</v>
      </c>
      <c r="E59" s="10">
        <f>((E32)/0.5)/E25</f>
        <v>0.05573629022868453</v>
      </c>
      <c r="F59" s="10">
        <f>((F32)/0.25)/F25</f>
        <v>0.057341764528756396</v>
      </c>
      <c r="G59" s="10">
        <f>G32/G25</f>
        <v>0.05626266661291564</v>
      </c>
      <c r="H59" s="10">
        <f>H32/H25</f>
        <v>0.05511218646487249</v>
      </c>
    </row>
    <row r="60" spans="1:8" ht="11.25">
      <c r="A60" s="7" t="s">
        <v>53</v>
      </c>
      <c r="B60" s="7"/>
      <c r="C60" s="10">
        <f>(C33)/C25</f>
        <v>0.02725822051360366</v>
      </c>
      <c r="D60" s="10">
        <f>((D33)/0.75)/D25</f>
        <v>0.02929984695748404</v>
      </c>
      <c r="E60" s="10">
        <f>((E33)/0.5)/E25</f>
        <v>0.030308633942656503</v>
      </c>
      <c r="F60" s="10">
        <f>((F33)/0.25)/F25</f>
        <v>0.03129659741041855</v>
      </c>
      <c r="G60" s="10">
        <f>G33/G25</f>
        <v>0.024468933738420625</v>
      </c>
      <c r="H60" s="10">
        <f>H33/H25</f>
        <v>0.027174422257618264</v>
      </c>
    </row>
    <row r="61" spans="1:8" ht="11.25">
      <c r="A61" s="7" t="s">
        <v>54</v>
      </c>
      <c r="B61" s="7"/>
      <c r="C61" s="10">
        <f>(C36)/(C35)</f>
        <v>0.6518899773092036</v>
      </c>
      <c r="D61" s="10">
        <f>((D36)/0.75)/((D35)/0.75)</f>
        <v>0.725940800237989</v>
      </c>
      <c r="E61" s="10">
        <f>((E36)/0.5)/((E35)/0.5)</f>
        <v>0.6388413730185882</v>
      </c>
      <c r="F61" s="10">
        <f>(F36/0.25)/(F35/0.25)</f>
        <v>0.549537037037037</v>
      </c>
      <c r="G61" s="10">
        <f>G36/G35</f>
        <v>0.6735581468641664</v>
      </c>
      <c r="H61" s="10">
        <f>H36/H35</f>
        <v>0.49898367320175724</v>
      </c>
    </row>
    <row r="62" spans="1:8" ht="11.25">
      <c r="A62" s="3" t="s">
        <v>55</v>
      </c>
      <c r="B62" s="3"/>
      <c r="C62" s="12">
        <f>(C34)/C25</f>
        <v>0.012732749481549354</v>
      </c>
      <c r="D62" s="12">
        <f>((D34)/0.75)/D25</f>
        <v>0.010065235195826352</v>
      </c>
      <c r="E62" s="12">
        <f>((E34)/0.5)/E25</f>
        <v>0.009729993813166768</v>
      </c>
      <c r="F62" s="12">
        <f>(F34/0.255)/F25</f>
        <v>0.010126881225239267</v>
      </c>
      <c r="G62" s="12">
        <f>G34/G25</f>
        <v>0.014292886906616141</v>
      </c>
      <c r="H62" s="12">
        <f>H34/H25</f>
        <v>0.014853476926129443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284</v>
      </c>
      <c r="D64" s="8">
        <v>291</v>
      </c>
      <c r="E64" s="8">
        <v>287</v>
      </c>
      <c r="F64" s="8">
        <v>284</v>
      </c>
      <c r="G64" s="8">
        <v>267</v>
      </c>
      <c r="H64" s="8">
        <v>236</v>
      </c>
    </row>
    <row r="65" spans="1:8" ht="11.25">
      <c r="A65" s="7" t="s">
        <v>58</v>
      </c>
      <c r="B65" s="7"/>
      <c r="C65" s="8">
        <v>10</v>
      </c>
      <c r="D65" s="8">
        <v>10</v>
      </c>
      <c r="E65" s="8">
        <v>10</v>
      </c>
      <c r="F65" s="8">
        <v>10</v>
      </c>
      <c r="G65" s="8">
        <v>10</v>
      </c>
      <c r="H65" s="8">
        <v>9</v>
      </c>
    </row>
    <row r="66" spans="1:8" ht="11.25">
      <c r="A66" s="7" t="s">
        <v>59</v>
      </c>
      <c r="B66" s="7"/>
      <c r="C66" s="8">
        <f aca="true" t="shared" si="16" ref="C66:H66">C11/C64</f>
        <v>1065.2992957746478</v>
      </c>
      <c r="D66" s="8">
        <f t="shared" si="16"/>
        <v>1053.085910652921</v>
      </c>
      <c r="E66" s="8">
        <f t="shared" si="16"/>
        <v>1057.5261324041812</v>
      </c>
      <c r="F66" s="8">
        <f t="shared" si="16"/>
        <v>1025.7922535211267</v>
      </c>
      <c r="G66" s="8">
        <f t="shared" si="16"/>
        <v>1102.685393258427</v>
      </c>
      <c r="H66" s="8">
        <f t="shared" si="16"/>
        <v>1070.3813559322034</v>
      </c>
    </row>
    <row r="67" spans="1:8" ht="11.25">
      <c r="A67" s="7" t="s">
        <v>60</v>
      </c>
      <c r="B67" s="7"/>
      <c r="C67" s="8">
        <f aca="true" t="shared" si="17" ref="C67:H67">C15/C64</f>
        <v>1357.5352112676057</v>
      </c>
      <c r="D67" s="8">
        <f t="shared" si="17"/>
        <v>1277.5189003436426</v>
      </c>
      <c r="E67" s="8">
        <f t="shared" si="17"/>
        <v>1219.8536585365853</v>
      </c>
      <c r="F67" s="8">
        <f t="shared" si="17"/>
        <v>1189.2359154929577</v>
      </c>
      <c r="G67" s="8">
        <f t="shared" si="17"/>
        <v>1274.4831460674156</v>
      </c>
      <c r="H67" s="8">
        <f t="shared" si="17"/>
        <v>1349.1101694915253</v>
      </c>
    </row>
    <row r="68" spans="1:8" ht="11.25">
      <c r="A68" s="3" t="s">
        <v>61</v>
      </c>
      <c r="B68" s="3"/>
      <c r="C68" s="9">
        <f aca="true" t="shared" si="18" ref="C68:H68">C38/C64</f>
        <v>6.936619718309859</v>
      </c>
      <c r="D68" s="9">
        <f t="shared" si="18"/>
        <v>16.06529209621993</v>
      </c>
      <c r="E68" s="9">
        <f t="shared" si="18"/>
        <v>11.034843205574912</v>
      </c>
      <c r="F68" s="9">
        <f t="shared" si="18"/>
        <v>5.690140845070423</v>
      </c>
      <c r="G68" s="9">
        <f t="shared" si="18"/>
        <v>17.827715355805243</v>
      </c>
      <c r="H68" s="9">
        <f t="shared" si="18"/>
        <v>25.597457627118644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0.09549759296533684</v>
      </c>
      <c r="D70" s="10">
        <f>(D9-439302)/439302</f>
        <v>0.0734187415490938</v>
      </c>
      <c r="E70" s="10">
        <f>(E9-421686)/421686</f>
        <v>0.0775055372955232</v>
      </c>
      <c r="F70" s="10">
        <f>(F9-395872)/395872</f>
        <v>0.097266288093121</v>
      </c>
      <c r="G70" s="10">
        <f>(G9-H9)/H9</f>
        <v>0.11328942850578155</v>
      </c>
      <c r="H70" s="10">
        <f>(H9-338403)/338403</f>
        <v>0.1446500178780921</v>
      </c>
    </row>
    <row r="71" spans="1:8" ht="11.25">
      <c r="A71" s="7" t="s">
        <v>64</v>
      </c>
      <c r="B71" s="7"/>
      <c r="C71" s="10">
        <f>C11/G11-1</f>
        <v>0.027607101492101327</v>
      </c>
      <c r="D71" s="10">
        <f>D11/289665-1</f>
        <v>0.057939343724647374</v>
      </c>
      <c r="E71" s="10">
        <f>E11/278056-1</f>
        <v>0.09154271082084176</v>
      </c>
      <c r="F71" s="10">
        <f>F11/262073-1</f>
        <v>0.11161775535823981</v>
      </c>
      <c r="G71" s="10">
        <f>(G11-H11)/H11</f>
        <v>0.16550017814021614</v>
      </c>
      <c r="H71" s="10">
        <f>H11/213626-1</f>
        <v>0.18248715044048947</v>
      </c>
    </row>
    <row r="72" spans="1:8" ht="11.25">
      <c r="A72" s="7"/>
      <c r="B72" s="7" t="s">
        <v>13</v>
      </c>
      <c r="C72" s="10">
        <f>(C12-G12)/G12</f>
        <v>0.018028625291799664</v>
      </c>
      <c r="D72" s="10">
        <f>D12/288953-1</f>
        <v>0.05090793312407205</v>
      </c>
      <c r="E72" s="10">
        <f>E12/277359-1</f>
        <v>0.08370379183657284</v>
      </c>
      <c r="F72" s="10">
        <f>F12/258261-1</f>
        <v>0.12555902749544057</v>
      </c>
      <c r="G72" s="10">
        <f>(G12-H12)/H12</f>
        <v>0.18662300271755589</v>
      </c>
      <c r="H72" s="10">
        <f>(H12-212637)/212637</f>
        <v>0.16465619812168156</v>
      </c>
    </row>
    <row r="73" spans="1:8" ht="11.25">
      <c r="A73" s="7"/>
      <c r="B73" s="7" t="s">
        <v>14</v>
      </c>
      <c r="C73" s="10">
        <f>(C13-G13)/G13</f>
        <v>5.136116152450091</v>
      </c>
      <c r="D73" s="10">
        <f>D13/712-1</f>
        <v>2.9115168539325844</v>
      </c>
      <c r="E73" s="10">
        <f>E13/697-1</f>
        <v>3.21090387374462</v>
      </c>
      <c r="F73" s="10">
        <f>F13/3812-1</f>
        <v>-0.8328961175236096</v>
      </c>
      <c r="G73" s="10">
        <f>(G13-H13)/H13</f>
        <v>-0.888933682725257</v>
      </c>
      <c r="H73" s="10">
        <f>H13/990-1</f>
        <v>4.011111111111111</v>
      </c>
    </row>
    <row r="74" spans="1:8" ht="11.25">
      <c r="A74" s="7" t="s">
        <v>65</v>
      </c>
      <c r="B74" s="7"/>
      <c r="C74" s="10">
        <f>C15/G15-1</f>
        <v>0.13298480400367918</v>
      </c>
      <c r="D74" s="10">
        <f>D15/347783-1</f>
        <v>0.06893666452931857</v>
      </c>
      <c r="E74" s="10">
        <f>E15/331479-1</f>
        <v>0.056169470765870644</v>
      </c>
      <c r="F74" s="10">
        <f>F15/325172-1</f>
        <v>0.0386595401818115</v>
      </c>
      <c r="G74" s="10">
        <f>(G15-H15)/H15</f>
        <v>0.0687741449166117</v>
      </c>
      <c r="H74" s="10">
        <f>H15/284035-1</f>
        <v>0.12095340362983431</v>
      </c>
    </row>
    <row r="75" spans="1:8" ht="11.25">
      <c r="A75" s="7"/>
      <c r="B75" s="7" t="s">
        <v>13</v>
      </c>
      <c r="C75" s="10">
        <f>(C16-G16)/G16</f>
        <v>0.14223573309340143</v>
      </c>
      <c r="D75" s="10">
        <f>D16/312433-1</f>
        <v>0.07698930650731506</v>
      </c>
      <c r="E75" s="10">
        <f>E16/293071-1</f>
        <v>0.08150925884853844</v>
      </c>
      <c r="F75" s="10">
        <f>F16/274920-1</f>
        <v>0.10426305834424565</v>
      </c>
      <c r="G75" s="10">
        <f>(G16-H16)/H16</f>
        <v>0.13846072734530637</v>
      </c>
      <c r="H75" s="10">
        <f>(H16-246644)/246644</f>
        <v>0.07661649989458491</v>
      </c>
    </row>
    <row r="76" spans="1:8" ht="11.25">
      <c r="A76" s="7"/>
      <c r="B76" s="7" t="s">
        <v>14</v>
      </c>
      <c r="C76" s="10">
        <f>(C20-G20)/G20</f>
        <v>0.059348587377234786</v>
      </c>
      <c r="D76" s="10">
        <f>D20/35350-1</f>
        <v>-0.002234794908062221</v>
      </c>
      <c r="E76" s="10">
        <f>E20/38408-1</f>
        <v>-0.13718496146636117</v>
      </c>
      <c r="F76" s="10">
        <f>F20/50252-1</f>
        <v>-0.3202459603597867</v>
      </c>
      <c r="G76" s="10">
        <f>(G20-H20)/H20</f>
        <v>-0.2813676701545914</v>
      </c>
      <c r="H76" s="10">
        <f>(H20-37390)/37390</f>
        <v>0.41345279486493713</v>
      </c>
    </row>
    <row r="77" spans="1:8" ht="11.25">
      <c r="A77" s="7" t="s">
        <v>66</v>
      </c>
      <c r="B77" s="7"/>
      <c r="C77" s="10">
        <f>(C23-G23)/G23</f>
        <v>-0.029588420638046474</v>
      </c>
      <c r="D77" s="10">
        <f>(D23-41200)/41200</f>
        <v>0.04179611650485437</v>
      </c>
      <c r="E77" s="10">
        <f>(E23-40915)/40915</f>
        <v>0.027544910179640718</v>
      </c>
      <c r="F77" s="10">
        <f>(F23-40800)/40800</f>
        <v>0.007769607843137255</v>
      </c>
      <c r="G77" s="10">
        <f>(G23-H23)/H23</f>
        <v>0.04501723517003653</v>
      </c>
      <c r="H77" s="10">
        <f>(H23-27579)/27579</f>
        <v>0.40955074513216577</v>
      </c>
    </row>
    <row r="78" spans="1:8" ht="11.25">
      <c r="A78" s="3" t="s">
        <v>67</v>
      </c>
      <c r="B78" s="3"/>
      <c r="C78" s="12">
        <f>C38/G38-1</f>
        <v>-0.5861344537815126</v>
      </c>
      <c r="D78" s="12">
        <f>D38/4087-1</f>
        <v>0.14387080988500123</v>
      </c>
      <c r="E78" s="12">
        <f>E38/2987-1</f>
        <v>0.06026113157013735</v>
      </c>
      <c r="F78" s="12">
        <f>F38/1494-1</f>
        <v>0.08165997322623819</v>
      </c>
      <c r="G78" s="12">
        <f>(G38-H38)/H38</f>
        <v>-0.21205098493626884</v>
      </c>
      <c r="H78" s="12">
        <f>(H38-5331)/5331</f>
        <v>0.13318326767960983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2002-05-02T19:06:42Z</cp:lastPrinted>
  <dcterms:created xsi:type="dcterms:W3CDTF">2002-03-08T15:13:36Z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