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Centro" sheetId="1" r:id="rId1"/>
  </sheets>
  <definedNames/>
  <calcPr fullCalcOnLoad="1"/>
</workbook>
</file>

<file path=xl/sharedStrings.xml><?xml version="1.0" encoding="utf-8"?>
<sst xmlns="http://schemas.openxmlformats.org/spreadsheetml/2006/main" count="85" uniqueCount="73">
  <si>
    <t>CUDRO No. 11     CENTRO BANCARIO INTERNACIONAL</t>
  </si>
  <si>
    <t>ESTADISTICA FINANCIERA. AÑOS 1998, 1999, Y TRIMESTRES DE 2000</t>
  </si>
  <si>
    <t>(En millones de balboas)</t>
  </si>
  <si>
    <t>Diciembre 2000</t>
  </si>
  <si>
    <t>Sept 2000</t>
  </si>
  <si>
    <t>Sept 1999</t>
  </si>
  <si>
    <t>Junio 2000</t>
  </si>
  <si>
    <t>Junio 1999</t>
  </si>
  <si>
    <t>Marzo 2000</t>
  </si>
  <si>
    <t>Marzo 1999</t>
  </si>
  <si>
    <t>Diciembre 1999</t>
  </si>
  <si>
    <t>Diciembre 1998</t>
  </si>
  <si>
    <t>Dic. 1997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</si>
  <si>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</si>
  <si>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</si>
  <si>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</si>
  <si>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</si>
  <si>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</si>
  <si>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</si>
  <si>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</si>
  <si>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</si>
  <si>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</si>
  <si>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</si>
  <si>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</si>
  <si>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</si>
  <si>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</si>
  <si>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</si>
  <si>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</si>
  <si>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</si>
  <si>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</si>
  <si>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</si>
  <si>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</si>
  <si>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</si>
  <si>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</si>
  <si>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</si>
  <si>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</si>
  <si>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</si>
  <si>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</si>
  <si>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</si>
  <si>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>Préstamos Morosos / Préstamos Totales</t>
  </si>
  <si>
    <t>Préstamos Vencidos / Préstamos Totales</t>
  </si>
  <si>
    <t>Morosos + Vencidos / Préstamos Totales</t>
  </si>
  <si>
    <t>Provisiones Cuentas Malas / Préstamos Totales</t>
  </si>
  <si>
    <t>Provisiones / Préstamos Morosos + Vencidos</t>
  </si>
  <si>
    <t>Razones de Capital</t>
  </si>
  <si>
    <t>Patrimonio / Activos Generadores de Ingresos</t>
  </si>
  <si>
    <t>Patrimonio / 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</si>
  <si>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</si>
  <si>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</si>
  <si>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</si>
  <si>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</si>
  <si>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</si>
  <si>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</si>
  <si>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</si>
  <si>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</si>
  <si>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</si>
  <si>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</si>
  <si>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</si>
  <si>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</si>
  <si>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</si>
  <si>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</si>
  <si>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</si>
  <si>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Número de Bancos</t>
  </si>
  <si>
    <t>Préstamos / Empleados (Millones de balboas)</t>
  </si>
  <si>
    <t>Depósitos Totales / Empleados (En millones de balboas)</t>
  </si>
  <si>
    <t>Utilidad Neta / Empleados (En millones de balboas)</t>
  </si>
  <si>
    <t>Tasas de Crecimiento (12 meses)</t>
  </si>
  <si>
    <t>Activos</t>
  </si>
  <si>
    <t>Préstamos</t>
  </si>
  <si>
    <t>Depósitos</t>
  </si>
  <si>
    <t>Patrimonio</t>
  </si>
  <si>
    <t>Utilidad Neta</t>
  </si>
  <si>
    <t>PROVISIONES PARA PRESTAMOS</t>
  </si>
</sst>
</file>

<file path=xl/styles.xml><?xml version="1.0" encoding="utf-8"?>
<styleSheet xmlns="http://schemas.openxmlformats.org/spreadsheetml/2006/main">
  <numFmts count="44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00"/>
    <numFmt numFmtId="189" formatCode="0.00000000000"/>
    <numFmt numFmtId="190" formatCode="0.000000000"/>
    <numFmt numFmtId="191" formatCode="0.0"/>
    <numFmt numFmtId="192" formatCode="_ * #,##0.0_ ;_ * \-#,##0.0_ ;_ * &quot;-&quot;??_ ;_ @_ "/>
    <numFmt numFmtId="193" formatCode="_ * #,##0_ ;_ * \-#,##0_ ;_ * &quot;-&quot;??_ ;_ @_ "/>
    <numFmt numFmtId="194" formatCode="0.000%"/>
    <numFmt numFmtId="195" formatCode="0.0000%"/>
    <numFmt numFmtId="196" formatCode="0.00000%"/>
    <numFmt numFmtId="197" formatCode="0.000000%"/>
    <numFmt numFmtId="198" formatCode="_(* #,##0.0000_);_(* \(#,##0.0000\);_(* &quot;-&quot;??_);_(@_)"/>
    <numFmt numFmtId="199" formatCode="0.00_);\(0.00\)"/>
  </numFmts>
  <fonts count="6">
    <font>
      <sz val="10"/>
      <name val="Arial"/>
      <family val="0"/>
    </font>
    <font>
      <sz val="7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79" fontId="2" fillId="0" borderId="0" xfId="15" applyNumberFormat="1" applyFont="1" applyAlignment="1">
      <alignment/>
    </xf>
    <xf numFmtId="179" fontId="5" fillId="0" borderId="0" xfId="15" applyNumberFormat="1" applyFont="1" applyAlignment="1">
      <alignment/>
    </xf>
    <xf numFmtId="0" fontId="5" fillId="0" borderId="0" xfId="0" applyFont="1" applyAlignment="1">
      <alignment/>
    </xf>
    <xf numFmtId="179" fontId="3" fillId="0" borderId="0" xfId="15" applyNumberFormat="1" applyFont="1" applyAlignment="1">
      <alignment/>
    </xf>
    <xf numFmtId="179" fontId="4" fillId="0" borderId="0" xfId="15" applyNumberFormat="1" applyFont="1" applyAlignment="1">
      <alignment/>
    </xf>
    <xf numFmtId="179" fontId="3" fillId="0" borderId="1" xfId="15" applyNumberFormat="1" applyFont="1" applyBorder="1" applyAlignment="1">
      <alignment/>
    </xf>
    <xf numFmtId="179" fontId="4" fillId="0" borderId="1" xfId="15" applyNumberFormat="1" applyFont="1" applyBorder="1" applyAlignment="1">
      <alignment/>
    </xf>
    <xf numFmtId="43" fontId="3" fillId="0" borderId="0" xfId="15" applyNumberFormat="1" applyFont="1" applyAlignment="1">
      <alignment/>
    </xf>
    <xf numFmtId="43" fontId="3" fillId="0" borderId="0" xfId="15" applyFont="1" applyAlignment="1">
      <alignment/>
    </xf>
    <xf numFmtId="0" fontId="4" fillId="0" borderId="0" xfId="0" applyFont="1" applyAlignment="1">
      <alignment/>
    </xf>
    <xf numFmtId="10" fontId="3" fillId="0" borderId="0" xfId="19" applyNumberFormat="1" applyFont="1" applyAlignment="1">
      <alignment/>
    </xf>
    <xf numFmtId="0" fontId="3" fillId="0" borderId="0" xfId="0" applyFont="1" applyBorder="1" applyAlignment="1">
      <alignment/>
    </xf>
    <xf numFmtId="10" fontId="3" fillId="0" borderId="1" xfId="19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181" fontId="3" fillId="0" borderId="0" xfId="19" applyNumberFormat="1" applyFont="1" applyAlignment="1">
      <alignment/>
    </xf>
    <xf numFmtId="181" fontId="3" fillId="0" borderId="1" xfId="19" applyNumberFormat="1" applyFont="1" applyBorder="1" applyAlignment="1">
      <alignment/>
    </xf>
    <xf numFmtId="0" fontId="3" fillId="0" borderId="1" xfId="19" applyNumberFormat="1" applyFont="1" applyBorder="1" applyAlignment="1">
      <alignment/>
    </xf>
    <xf numFmtId="43" fontId="3" fillId="0" borderId="1" xfId="15" applyNumberFormat="1" applyFont="1" applyBorder="1" applyAlignment="1">
      <alignment/>
    </xf>
    <xf numFmtId="43" fontId="3" fillId="0" borderId="1" xfId="15" applyFont="1" applyBorder="1" applyAlignment="1">
      <alignment/>
    </xf>
    <xf numFmtId="10" fontId="3" fillId="0" borderId="0" xfId="19" applyNumberFormat="1" applyFont="1" applyFill="1" applyAlignment="1">
      <alignment/>
    </xf>
    <xf numFmtId="43" fontId="3" fillId="0" borderId="0" xfId="15" applyNumberFormat="1" applyFont="1" applyFill="1" applyAlignment="1">
      <alignment/>
    </xf>
    <xf numFmtId="10" fontId="3" fillId="0" borderId="1" xfId="19" applyNumberFormat="1" applyFont="1" applyFill="1" applyBorder="1" applyAlignment="1">
      <alignment/>
    </xf>
    <xf numFmtId="177" fontId="3" fillId="0" borderId="1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276225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7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6" sqref="D6"/>
    </sheetView>
  </sheetViews>
  <sheetFormatPr defaultColWidth="11.421875" defaultRowHeight="12.75"/>
  <cols>
    <col min="1" max="1" width="1.8515625" style="1" customWidth="1"/>
    <col min="2" max="2" width="35.8515625" style="1" customWidth="1"/>
    <col min="3" max="3" width="10.8515625" style="1" customWidth="1"/>
    <col min="4" max="4" width="9.00390625" style="1" customWidth="1"/>
    <col min="5" max="5" width="5.00390625" style="1" hidden="1" customWidth="1"/>
    <col min="6" max="6" width="9.28125" style="1" customWidth="1"/>
    <col min="7" max="7" width="5.57421875" style="1" hidden="1" customWidth="1"/>
    <col min="8" max="8" width="9.00390625" style="1" customWidth="1"/>
    <col min="9" max="9" width="5.8515625" style="1" hidden="1" customWidth="1"/>
    <col min="10" max="10" width="11.140625" style="1" customWidth="1"/>
    <col min="11" max="11" width="11.28125" style="1" customWidth="1"/>
    <col min="12" max="12" width="1.1484375" style="1" hidden="1" customWidth="1"/>
    <col min="13" max="16384" width="8.421875" style="1" customWidth="1"/>
  </cols>
  <sheetData>
    <row r="1" spans="2:11" s="2" customFormat="1" ht="11.25"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2:11" s="2" customFormat="1" ht="11.25">
      <c r="B2" s="31"/>
      <c r="C2" s="31"/>
      <c r="D2" s="31"/>
      <c r="E2" s="31"/>
      <c r="F2" s="31"/>
      <c r="G2" s="31"/>
      <c r="H2" s="31" t="s">
        <v>0</v>
      </c>
      <c r="I2" s="31"/>
      <c r="J2" s="31"/>
      <c r="K2" s="31"/>
    </row>
    <row r="3" spans="2:11" s="2" customFormat="1" ht="11.25">
      <c r="B3" s="32"/>
      <c r="C3" s="32"/>
      <c r="D3" s="32"/>
      <c r="E3" s="32"/>
      <c r="F3" s="32"/>
      <c r="G3" s="32"/>
      <c r="H3" s="31" t="s">
        <v>1</v>
      </c>
      <c r="I3" s="32"/>
      <c r="J3" s="32"/>
      <c r="K3" s="32"/>
    </row>
    <row r="4" spans="1:11" s="2" customFormat="1" ht="11.25">
      <c r="A4" s="32"/>
      <c r="B4" s="32"/>
      <c r="C4" s="32"/>
      <c r="D4" s="32"/>
      <c r="E4" s="32"/>
      <c r="F4" s="32"/>
      <c r="G4" s="32"/>
      <c r="H4" s="32" t="s">
        <v>2</v>
      </c>
      <c r="I4" s="32"/>
      <c r="J4" s="32"/>
      <c r="K4" s="32"/>
    </row>
    <row r="5" spans="1:11" s="2" customFormat="1" ht="11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s="2" customFormat="1" ht="11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s="2" customFormat="1" ht="11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2" s="33" customFormat="1" ht="11.25">
      <c r="A8" s="4"/>
      <c r="B8" s="4"/>
      <c r="C8" s="4" t="s">
        <v>3</v>
      </c>
      <c r="D8" s="4" t="s">
        <v>4</v>
      </c>
      <c r="E8" s="5" t="s">
        <v>5</v>
      </c>
      <c r="F8" s="4" t="s">
        <v>6</v>
      </c>
      <c r="G8" s="5" t="s">
        <v>7</v>
      </c>
      <c r="H8" s="4" t="s">
        <v>8</v>
      </c>
      <c r="I8" s="5" t="s">
        <v>9</v>
      </c>
      <c r="J8" s="4" t="s">
        <v>10</v>
      </c>
      <c r="K8" s="4" t="s">
        <v>11</v>
      </c>
      <c r="L8" s="6" t="s">
        <v>12</v>
      </c>
    </row>
    <row r="9" spans="1:12" s="7" customFormat="1" ht="11.25">
      <c r="A9" s="7" t="s">
        <v>13</v>
      </c>
      <c r="C9" s="8"/>
      <c r="D9" s="8"/>
      <c r="E9" s="9"/>
      <c r="F9" s="8"/>
      <c r="G9" s="9"/>
      <c r="H9" s="8"/>
      <c r="I9" s="9"/>
      <c r="J9" s="8"/>
      <c r="K9" s="8"/>
      <c r="L9" s="10"/>
    </row>
    <row r="10" spans="1:12" s="2" customFormat="1" ht="11.25">
      <c r="A10" s="2" t="s">
        <v>14</v>
      </c>
      <c r="C10" s="11">
        <v>38044</v>
      </c>
      <c r="D10" s="11">
        <v>37809</v>
      </c>
      <c r="E10" s="12">
        <v>35957</v>
      </c>
      <c r="F10" s="11">
        <v>35953</v>
      </c>
      <c r="G10" s="12">
        <v>36608</v>
      </c>
      <c r="H10" s="11">
        <v>36558</v>
      </c>
      <c r="I10" s="12">
        <v>36831</v>
      </c>
      <c r="J10" s="11">
        <v>36985</v>
      </c>
      <c r="K10" s="11">
        <v>36579</v>
      </c>
      <c r="L10" s="12">
        <v>36205</v>
      </c>
    </row>
    <row r="11" spans="1:12" s="2" customFormat="1" ht="11.25">
      <c r="A11" s="2" t="s">
        <v>15</v>
      </c>
      <c r="C11" s="11">
        <v>10282</v>
      </c>
      <c r="D11" s="11">
        <v>10007</v>
      </c>
      <c r="E11" s="12">
        <v>8672</v>
      </c>
      <c r="F11" s="11">
        <v>8759</v>
      </c>
      <c r="G11" s="12">
        <v>8885</v>
      </c>
      <c r="H11" s="11">
        <v>9695</v>
      </c>
      <c r="I11" s="12">
        <v>9154</v>
      </c>
      <c r="J11" s="11">
        <v>9563</v>
      </c>
      <c r="K11" s="11">
        <v>9188</v>
      </c>
      <c r="L11" s="12">
        <v>10408</v>
      </c>
    </row>
    <row r="12" spans="1:12" s="2" customFormat="1" ht="11.25">
      <c r="A12" s="2" t="s">
        <v>16</v>
      </c>
      <c r="C12" s="11">
        <f aca="true" t="shared" si="0" ref="C12:L12">C13+C14</f>
        <v>21495</v>
      </c>
      <c r="D12" s="11">
        <f t="shared" si="0"/>
        <v>21803</v>
      </c>
      <c r="E12" s="11">
        <f t="shared" si="0"/>
        <v>21910</v>
      </c>
      <c r="F12" s="11">
        <f t="shared" si="0"/>
        <v>21304</v>
      </c>
      <c r="G12" s="11">
        <f t="shared" si="0"/>
        <v>22248</v>
      </c>
      <c r="H12" s="11">
        <f t="shared" si="0"/>
        <v>21135</v>
      </c>
      <c r="I12" s="11">
        <f t="shared" si="0"/>
        <v>22798</v>
      </c>
      <c r="J12" s="11">
        <f t="shared" si="0"/>
        <v>21891</v>
      </c>
      <c r="K12" s="11">
        <f t="shared" si="0"/>
        <v>22764</v>
      </c>
      <c r="L12" s="11">
        <f t="shared" si="0"/>
        <v>21157</v>
      </c>
    </row>
    <row r="13" spans="2:12" s="2" customFormat="1" ht="11.25">
      <c r="B13" s="2" t="s">
        <v>17</v>
      </c>
      <c r="C13" s="11">
        <v>11552</v>
      </c>
      <c r="D13" s="11">
        <v>11814</v>
      </c>
      <c r="E13" s="12">
        <v>10849</v>
      </c>
      <c r="F13" s="11">
        <v>11482</v>
      </c>
      <c r="G13" s="12">
        <v>10493</v>
      </c>
      <c r="H13" s="11">
        <v>11168</v>
      </c>
      <c r="I13" s="12">
        <v>10184</v>
      </c>
      <c r="J13" s="11">
        <v>11087</v>
      </c>
      <c r="K13" s="11">
        <v>9828</v>
      </c>
      <c r="L13" s="12">
        <v>8295</v>
      </c>
    </row>
    <row r="14" spans="2:12" s="2" customFormat="1" ht="11.25">
      <c r="B14" s="2" t="s">
        <v>18</v>
      </c>
      <c r="C14" s="11">
        <v>9943</v>
      </c>
      <c r="D14" s="11">
        <v>9989</v>
      </c>
      <c r="E14" s="12">
        <v>11061</v>
      </c>
      <c r="F14" s="11">
        <v>9822</v>
      </c>
      <c r="G14" s="12">
        <v>11755</v>
      </c>
      <c r="H14" s="11">
        <v>9967</v>
      </c>
      <c r="I14" s="12">
        <v>12614</v>
      </c>
      <c r="J14" s="11">
        <v>10804</v>
      </c>
      <c r="K14" s="11">
        <v>12936</v>
      </c>
      <c r="L14" s="12">
        <v>12862</v>
      </c>
    </row>
    <row r="15" spans="1:12" s="2" customFormat="1" ht="11.25">
      <c r="A15" s="2" t="s">
        <v>19</v>
      </c>
      <c r="C15" s="11">
        <v>4339</v>
      </c>
      <c r="D15" s="11">
        <v>4344</v>
      </c>
      <c r="E15" s="12">
        <v>3888</v>
      </c>
      <c r="F15" s="11">
        <v>4343</v>
      </c>
      <c r="G15" s="12">
        <v>3580</v>
      </c>
      <c r="H15" s="11">
        <v>4068</v>
      </c>
      <c r="I15" s="12">
        <v>3190</v>
      </c>
      <c r="J15" s="11">
        <v>4005</v>
      </c>
      <c r="K15" s="11">
        <v>3082</v>
      </c>
      <c r="L15" s="12">
        <v>3195</v>
      </c>
    </row>
    <row r="16" spans="1:12" s="2" customFormat="1" ht="11.25">
      <c r="A16" s="2" t="s">
        <v>20</v>
      </c>
      <c r="C16" s="11">
        <f aca="true" t="shared" si="1" ref="C16:L16">C17+C21</f>
        <v>26954</v>
      </c>
      <c r="D16" s="11">
        <f t="shared" si="1"/>
        <v>27354</v>
      </c>
      <c r="E16" s="11">
        <f t="shared" si="1"/>
        <v>26253</v>
      </c>
      <c r="F16" s="11">
        <f t="shared" si="1"/>
        <v>26363</v>
      </c>
      <c r="G16" s="11">
        <f t="shared" si="1"/>
        <v>26744</v>
      </c>
      <c r="H16" s="11">
        <f t="shared" si="1"/>
        <v>26957</v>
      </c>
      <c r="I16" s="11">
        <f t="shared" si="1"/>
        <v>26986</v>
      </c>
      <c r="J16" s="11">
        <f t="shared" si="1"/>
        <v>26960</v>
      </c>
      <c r="K16" s="11">
        <f t="shared" si="1"/>
        <v>26804</v>
      </c>
      <c r="L16" s="11">
        <f t="shared" si="1"/>
        <v>27584</v>
      </c>
    </row>
    <row r="17" spans="2:12" s="2" customFormat="1" ht="11.25">
      <c r="B17" s="2" t="s">
        <v>17</v>
      </c>
      <c r="C17" s="11">
        <f aca="true" t="shared" si="2" ref="C17:L17">SUM(C18:C20)</f>
        <v>13874</v>
      </c>
      <c r="D17" s="11">
        <f t="shared" si="2"/>
        <v>13248</v>
      </c>
      <c r="E17" s="11">
        <f t="shared" si="2"/>
        <v>12474</v>
      </c>
      <c r="F17" s="11">
        <f t="shared" si="2"/>
        <v>12850</v>
      </c>
      <c r="G17" s="11">
        <f t="shared" si="2"/>
        <v>12868</v>
      </c>
      <c r="H17" s="11">
        <f t="shared" si="2"/>
        <v>12535</v>
      </c>
      <c r="I17" s="11">
        <f t="shared" si="2"/>
        <v>12084</v>
      </c>
      <c r="J17" s="11">
        <f t="shared" si="2"/>
        <v>12789</v>
      </c>
      <c r="K17" s="11">
        <f t="shared" si="2"/>
        <v>12105</v>
      </c>
      <c r="L17" s="11">
        <f t="shared" si="2"/>
        <v>10991</v>
      </c>
    </row>
    <row r="18" spans="2:12" s="2" customFormat="1" ht="11.25">
      <c r="B18" s="2" t="s">
        <v>21</v>
      </c>
      <c r="C18" s="11">
        <v>1914</v>
      </c>
      <c r="D18" s="11">
        <v>1945</v>
      </c>
      <c r="E18" s="12">
        <v>2038</v>
      </c>
      <c r="F18" s="11">
        <v>1982</v>
      </c>
      <c r="G18" s="12">
        <v>2220</v>
      </c>
      <c r="H18" s="11">
        <v>1989</v>
      </c>
      <c r="I18" s="12">
        <v>2022</v>
      </c>
      <c r="J18" s="11">
        <v>2108</v>
      </c>
      <c r="K18" s="11">
        <v>2054</v>
      </c>
      <c r="L18" s="12">
        <v>2041</v>
      </c>
    </row>
    <row r="19" spans="2:12" s="2" customFormat="1" ht="11.25">
      <c r="B19" s="2" t="s">
        <v>22</v>
      </c>
      <c r="C19" s="11">
        <v>9001</v>
      </c>
      <c r="D19" s="11">
        <v>8729</v>
      </c>
      <c r="E19" s="12">
        <v>8050</v>
      </c>
      <c r="F19" s="11">
        <v>8431</v>
      </c>
      <c r="G19" s="12">
        <v>7918</v>
      </c>
      <c r="H19" s="11">
        <v>8413</v>
      </c>
      <c r="I19" s="12">
        <v>7757</v>
      </c>
      <c r="J19" s="11">
        <v>8158</v>
      </c>
      <c r="K19" s="11">
        <v>7533</v>
      </c>
      <c r="L19" s="12">
        <v>6751</v>
      </c>
    </row>
    <row r="20" spans="2:12" s="2" customFormat="1" ht="11.25">
      <c r="B20" s="2" t="s">
        <v>23</v>
      </c>
      <c r="C20" s="11">
        <v>2959</v>
      </c>
      <c r="D20" s="11">
        <v>2574</v>
      </c>
      <c r="E20" s="12">
        <v>2386</v>
      </c>
      <c r="F20" s="11">
        <v>2437</v>
      </c>
      <c r="G20" s="12">
        <v>2730</v>
      </c>
      <c r="H20" s="11">
        <v>2133</v>
      </c>
      <c r="I20" s="12">
        <v>2305</v>
      </c>
      <c r="J20" s="11">
        <v>2523</v>
      </c>
      <c r="K20" s="11">
        <v>2518</v>
      </c>
      <c r="L20" s="12">
        <v>2199</v>
      </c>
    </row>
    <row r="21" spans="2:12" s="2" customFormat="1" ht="11.25">
      <c r="B21" s="2" t="s">
        <v>18</v>
      </c>
      <c r="C21" s="11">
        <f aca="true" t="shared" si="3" ref="C21:L21">SUM(C22:C23)</f>
        <v>13080</v>
      </c>
      <c r="D21" s="11">
        <f t="shared" si="3"/>
        <v>14106</v>
      </c>
      <c r="E21" s="11">
        <f t="shared" si="3"/>
        <v>13779</v>
      </c>
      <c r="F21" s="11">
        <f t="shared" si="3"/>
        <v>13513</v>
      </c>
      <c r="G21" s="11">
        <f t="shared" si="3"/>
        <v>13876</v>
      </c>
      <c r="H21" s="11">
        <f t="shared" si="3"/>
        <v>14422</v>
      </c>
      <c r="I21" s="11">
        <f t="shared" si="3"/>
        <v>14902</v>
      </c>
      <c r="J21" s="11">
        <f t="shared" si="3"/>
        <v>14171</v>
      </c>
      <c r="K21" s="11">
        <f t="shared" si="3"/>
        <v>14699</v>
      </c>
      <c r="L21" s="11">
        <f t="shared" si="3"/>
        <v>16593</v>
      </c>
    </row>
    <row r="22" spans="2:12" s="2" customFormat="1" ht="11.25">
      <c r="B22" s="2" t="s">
        <v>22</v>
      </c>
      <c r="C22" s="11">
        <v>5759</v>
      </c>
      <c r="D22" s="11">
        <v>5976</v>
      </c>
      <c r="E22" s="12">
        <v>5778</v>
      </c>
      <c r="F22" s="11">
        <v>5868</v>
      </c>
      <c r="G22" s="12">
        <v>5628</v>
      </c>
      <c r="H22" s="11">
        <v>6045</v>
      </c>
      <c r="I22" s="12">
        <v>5663</v>
      </c>
      <c r="J22" s="11">
        <v>5437</v>
      </c>
      <c r="K22" s="11">
        <v>5507</v>
      </c>
      <c r="L22" s="12">
        <v>5698</v>
      </c>
    </row>
    <row r="23" spans="2:12" s="2" customFormat="1" ht="11.25">
      <c r="B23" s="2" t="s">
        <v>23</v>
      </c>
      <c r="C23" s="11">
        <v>7321</v>
      </c>
      <c r="D23" s="11">
        <v>8130</v>
      </c>
      <c r="E23" s="12">
        <v>8001</v>
      </c>
      <c r="F23" s="11">
        <v>7645</v>
      </c>
      <c r="G23" s="12">
        <v>8248</v>
      </c>
      <c r="H23" s="11">
        <v>8377</v>
      </c>
      <c r="I23" s="12">
        <v>9239</v>
      </c>
      <c r="J23" s="11">
        <v>8734</v>
      </c>
      <c r="K23" s="11">
        <v>9192</v>
      </c>
      <c r="L23" s="12">
        <v>10895</v>
      </c>
    </row>
    <row r="24" spans="1:12" s="2" customFormat="1" ht="11.25">
      <c r="A24" s="3" t="s">
        <v>24</v>
      </c>
      <c r="B24" s="3"/>
      <c r="C24" s="13">
        <v>3555</v>
      </c>
      <c r="D24" s="13">
        <v>3454</v>
      </c>
      <c r="E24" s="14">
        <v>3206</v>
      </c>
      <c r="F24" s="13">
        <v>3305</v>
      </c>
      <c r="G24" s="14">
        <v>3154</v>
      </c>
      <c r="H24" s="13">
        <v>3281</v>
      </c>
      <c r="I24" s="14">
        <v>3112</v>
      </c>
      <c r="J24" s="13">
        <v>3202</v>
      </c>
      <c r="K24" s="13">
        <v>3103</v>
      </c>
      <c r="L24" s="12">
        <v>2823</v>
      </c>
    </row>
    <row r="25" spans="1:11" s="2" customFormat="1" ht="16.5" customHeight="1">
      <c r="A25" s="7" t="s">
        <v>25</v>
      </c>
      <c r="C25" s="15"/>
      <c r="D25" s="15"/>
      <c r="E25" s="15"/>
      <c r="F25" s="15"/>
      <c r="G25" s="15"/>
      <c r="H25" s="11"/>
      <c r="I25" s="11"/>
      <c r="J25" s="11"/>
      <c r="K25" s="11"/>
    </row>
    <row r="26" spans="1:12" s="2" customFormat="1" ht="11.25">
      <c r="A26" s="2" t="s">
        <v>14</v>
      </c>
      <c r="C26" s="11">
        <f>(C10+J10)/2</f>
        <v>37514.5</v>
      </c>
      <c r="D26" s="11">
        <f>(D10+E10)/2</f>
        <v>36883</v>
      </c>
      <c r="E26" s="11"/>
      <c r="F26" s="11">
        <f>(F10+G10)/2</f>
        <v>36280.5</v>
      </c>
      <c r="G26" s="11"/>
      <c r="H26" s="11">
        <f>(H10+I10)/2</f>
        <v>36694.5</v>
      </c>
      <c r="I26" s="11"/>
      <c r="J26" s="11">
        <f>(J10+K10)/2</f>
        <v>36782</v>
      </c>
      <c r="K26" s="11">
        <f>(K10+L10)/2</f>
        <v>36392</v>
      </c>
      <c r="L26" s="16"/>
    </row>
    <row r="27" spans="1:12" s="2" customFormat="1" ht="11.25">
      <c r="A27" s="2" t="s">
        <v>26</v>
      </c>
      <c r="C27" s="11">
        <f>C28+C29</f>
        <v>25865</v>
      </c>
      <c r="D27" s="11">
        <f>D28+D29</f>
        <v>25972.5</v>
      </c>
      <c r="E27" s="11"/>
      <c r="F27" s="11">
        <f>F28+F29</f>
        <v>25737.5</v>
      </c>
      <c r="G27" s="11"/>
      <c r="H27" s="11">
        <f>H28+H29</f>
        <v>25595.5</v>
      </c>
      <c r="I27" s="11"/>
      <c r="J27" s="11">
        <f>J28+J29</f>
        <v>25871</v>
      </c>
      <c r="K27" s="11">
        <f>K28+K29</f>
        <v>25099</v>
      </c>
      <c r="L27" s="16"/>
    </row>
    <row r="28" spans="2:12" s="2" customFormat="1" ht="11.25">
      <c r="B28" s="2" t="s">
        <v>16</v>
      </c>
      <c r="C28" s="11">
        <f>(C12+J12)/2</f>
        <v>21693</v>
      </c>
      <c r="D28" s="11">
        <f>(D12+E12)/2</f>
        <v>21856.5</v>
      </c>
      <c r="E28" s="11"/>
      <c r="F28" s="11">
        <f>(F12+G12)/2</f>
        <v>21776</v>
      </c>
      <c r="G28" s="11"/>
      <c r="H28" s="11">
        <f>(H12+I12)/2</f>
        <v>21966.5</v>
      </c>
      <c r="I28" s="11"/>
      <c r="J28" s="11">
        <f>(J12+K12)/2</f>
        <v>22327.5</v>
      </c>
      <c r="K28" s="11">
        <f>(K12+L12)/2</f>
        <v>21960.5</v>
      </c>
      <c r="L28" s="16"/>
    </row>
    <row r="29" spans="2:12" s="2" customFormat="1" ht="11.25">
      <c r="B29" s="2" t="s">
        <v>19</v>
      </c>
      <c r="C29" s="11">
        <f>(C15+J15)/2</f>
        <v>4172</v>
      </c>
      <c r="D29" s="11">
        <f>(D15+E15)/2</f>
        <v>4116</v>
      </c>
      <c r="E29" s="11"/>
      <c r="F29" s="11">
        <f>(F15+G15)/2</f>
        <v>3961.5</v>
      </c>
      <c r="G29" s="11"/>
      <c r="H29" s="11">
        <f>(H15+I15)/2</f>
        <v>3629</v>
      </c>
      <c r="I29" s="11"/>
      <c r="J29" s="11">
        <f>(J15+K15)/2</f>
        <v>3543.5</v>
      </c>
      <c r="K29" s="11">
        <f>(K15+L15)/2</f>
        <v>3138.5</v>
      </c>
      <c r="L29" s="16"/>
    </row>
    <row r="30" spans="1:12" s="2" customFormat="1" ht="11.25">
      <c r="A30" s="3" t="s">
        <v>24</v>
      </c>
      <c r="B30" s="3"/>
      <c r="C30" s="13">
        <f>(C24+J24)/2</f>
        <v>3378.5</v>
      </c>
      <c r="D30" s="13">
        <f>(D24+E24)/2</f>
        <v>3330</v>
      </c>
      <c r="E30" s="13"/>
      <c r="F30" s="13">
        <f>(F24+G24)/2</f>
        <v>3229.5</v>
      </c>
      <c r="G30" s="13"/>
      <c r="H30" s="13">
        <f>(H24+I24)/2</f>
        <v>3196.5</v>
      </c>
      <c r="I30" s="13"/>
      <c r="J30" s="13">
        <f>(J24+K24)/2</f>
        <v>3152.5</v>
      </c>
      <c r="K30" s="13">
        <f>(K24+L24)/2</f>
        <v>2963</v>
      </c>
      <c r="L30" s="16"/>
    </row>
    <row r="31" spans="1:5" s="2" customFormat="1" ht="16.5" customHeight="1">
      <c r="A31" s="7" t="s">
        <v>27</v>
      </c>
      <c r="E31" s="17"/>
    </row>
    <row r="32" spans="1:12" s="2" customFormat="1" ht="11.25">
      <c r="A32" s="2" t="s">
        <v>28</v>
      </c>
      <c r="C32" s="11">
        <f>756+D32</f>
        <v>2874</v>
      </c>
      <c r="D32" s="11">
        <f>F32+736</f>
        <v>2118</v>
      </c>
      <c r="E32" s="12">
        <f>G32+665</f>
        <v>1951</v>
      </c>
      <c r="F32" s="11">
        <f>H32+687</f>
        <v>1382</v>
      </c>
      <c r="G32" s="12">
        <f>I32+638</f>
        <v>1286</v>
      </c>
      <c r="H32" s="11">
        <v>695</v>
      </c>
      <c r="I32" s="12">
        <v>648</v>
      </c>
      <c r="J32" s="11">
        <v>2621</v>
      </c>
      <c r="K32" s="11">
        <v>2583</v>
      </c>
      <c r="L32" s="11">
        <v>2561</v>
      </c>
    </row>
    <row r="33" spans="1:12" s="2" customFormat="1" ht="11.25">
      <c r="A33" s="2" t="s">
        <v>29</v>
      </c>
      <c r="C33" s="11">
        <f>541+D33</f>
        <v>2012</v>
      </c>
      <c r="D33" s="11">
        <f>F33+519</f>
        <v>1471</v>
      </c>
      <c r="E33" s="12">
        <f>G33+456</f>
        <v>1346</v>
      </c>
      <c r="F33" s="11">
        <f>H33+476</f>
        <v>952</v>
      </c>
      <c r="G33" s="12">
        <f>I33+436</f>
        <v>890</v>
      </c>
      <c r="H33" s="11">
        <v>476</v>
      </c>
      <c r="I33" s="12">
        <v>454</v>
      </c>
      <c r="J33" s="11">
        <v>1801</v>
      </c>
      <c r="K33" s="11">
        <v>1721</v>
      </c>
      <c r="L33" s="11">
        <v>1775</v>
      </c>
    </row>
    <row r="34" spans="1:12" s="2" customFormat="1" ht="11.25">
      <c r="A34" s="2" t="s">
        <v>30</v>
      </c>
      <c r="C34" s="11">
        <f aca="true" t="shared" si="4" ref="C34:L34">C32-C33</f>
        <v>862</v>
      </c>
      <c r="D34" s="11">
        <f t="shared" si="4"/>
        <v>647</v>
      </c>
      <c r="E34" s="12">
        <f t="shared" si="4"/>
        <v>605</v>
      </c>
      <c r="F34" s="11">
        <f t="shared" si="4"/>
        <v>430</v>
      </c>
      <c r="G34" s="12">
        <f t="shared" si="4"/>
        <v>396</v>
      </c>
      <c r="H34" s="11">
        <f t="shared" si="4"/>
        <v>219</v>
      </c>
      <c r="I34" s="12">
        <f t="shared" si="4"/>
        <v>194</v>
      </c>
      <c r="J34" s="11">
        <f t="shared" si="4"/>
        <v>820</v>
      </c>
      <c r="K34" s="11">
        <f t="shared" si="4"/>
        <v>862</v>
      </c>
      <c r="L34" s="11">
        <f t="shared" si="4"/>
        <v>786</v>
      </c>
    </row>
    <row r="35" spans="1:12" s="2" customFormat="1" ht="11.25">
      <c r="A35" s="2" t="s">
        <v>31</v>
      </c>
      <c r="C35" s="11">
        <f>128+D35</f>
        <v>428</v>
      </c>
      <c r="D35" s="11">
        <f>F35+100</f>
        <v>300</v>
      </c>
      <c r="E35" s="12">
        <f>G35+95</f>
        <v>281</v>
      </c>
      <c r="F35" s="11">
        <f>H35+105</f>
        <v>200</v>
      </c>
      <c r="G35" s="12">
        <f>I35+92</f>
        <v>186</v>
      </c>
      <c r="H35" s="11">
        <v>95</v>
      </c>
      <c r="I35" s="12">
        <v>94</v>
      </c>
      <c r="J35" s="11">
        <v>387</v>
      </c>
      <c r="K35" s="11">
        <v>210</v>
      </c>
      <c r="L35" s="11">
        <v>163</v>
      </c>
    </row>
    <row r="36" spans="1:12" s="2" customFormat="1" ht="11.25">
      <c r="A36" s="2" t="s">
        <v>32</v>
      </c>
      <c r="C36" s="11">
        <f aca="true" t="shared" si="5" ref="C36:L36">C34+C35</f>
        <v>1290</v>
      </c>
      <c r="D36" s="11">
        <f t="shared" si="5"/>
        <v>947</v>
      </c>
      <c r="E36" s="12">
        <f t="shared" si="5"/>
        <v>886</v>
      </c>
      <c r="F36" s="11">
        <f t="shared" si="5"/>
        <v>630</v>
      </c>
      <c r="G36" s="12">
        <f t="shared" si="5"/>
        <v>582</v>
      </c>
      <c r="H36" s="11">
        <f t="shared" si="5"/>
        <v>314</v>
      </c>
      <c r="I36" s="12">
        <f t="shared" si="5"/>
        <v>288</v>
      </c>
      <c r="J36" s="11">
        <f t="shared" si="5"/>
        <v>1207</v>
      </c>
      <c r="K36" s="11">
        <f t="shared" si="5"/>
        <v>1072</v>
      </c>
      <c r="L36" s="11">
        <f t="shared" si="5"/>
        <v>949</v>
      </c>
    </row>
    <row r="37" spans="1:12" s="2" customFormat="1" ht="11.25">
      <c r="A37" s="2" t="s">
        <v>33</v>
      </c>
      <c r="C37" s="11">
        <f>157+D37</f>
        <v>589</v>
      </c>
      <c r="D37" s="11">
        <f>F37+160</f>
        <v>432</v>
      </c>
      <c r="E37" s="12">
        <f>G37+141</f>
        <v>408</v>
      </c>
      <c r="F37" s="11">
        <f>H37+132</f>
        <v>272</v>
      </c>
      <c r="G37" s="12">
        <f>I37+135</f>
        <v>267</v>
      </c>
      <c r="H37" s="11">
        <v>140</v>
      </c>
      <c r="I37" s="12">
        <v>132</v>
      </c>
      <c r="J37" s="11">
        <v>582</v>
      </c>
      <c r="K37" s="11">
        <v>490</v>
      </c>
      <c r="L37" s="11">
        <v>452</v>
      </c>
    </row>
    <row r="38" spans="1:12" s="2" customFormat="1" ht="11.25">
      <c r="A38" s="2" t="s">
        <v>34</v>
      </c>
      <c r="C38" s="11">
        <f aca="true" t="shared" si="6" ref="C38:L38">C36-C37</f>
        <v>701</v>
      </c>
      <c r="D38" s="11">
        <f t="shared" si="6"/>
        <v>515</v>
      </c>
      <c r="E38" s="12">
        <f t="shared" si="6"/>
        <v>478</v>
      </c>
      <c r="F38" s="11">
        <f t="shared" si="6"/>
        <v>358</v>
      </c>
      <c r="G38" s="12">
        <f t="shared" si="6"/>
        <v>315</v>
      </c>
      <c r="H38" s="11">
        <f t="shared" si="6"/>
        <v>174</v>
      </c>
      <c r="I38" s="12">
        <f t="shared" si="6"/>
        <v>156</v>
      </c>
      <c r="J38" s="11">
        <f t="shared" si="6"/>
        <v>625</v>
      </c>
      <c r="K38" s="11">
        <f t="shared" si="6"/>
        <v>582</v>
      </c>
      <c r="L38" s="11">
        <f t="shared" si="6"/>
        <v>497</v>
      </c>
    </row>
    <row r="39" spans="1:12" s="2" customFormat="1" ht="11.25">
      <c r="A39" s="3" t="s">
        <v>35</v>
      </c>
      <c r="B39" s="3"/>
      <c r="C39" s="13">
        <f>94+D39</f>
        <v>477</v>
      </c>
      <c r="D39" s="13">
        <f>F39+95</f>
        <v>383</v>
      </c>
      <c r="E39" s="14">
        <f>G39+135</f>
        <v>397</v>
      </c>
      <c r="F39" s="13">
        <f>H39+136</f>
        <v>288</v>
      </c>
      <c r="G39" s="14">
        <f>I39+126</f>
        <v>262</v>
      </c>
      <c r="H39" s="13">
        <v>152</v>
      </c>
      <c r="I39" s="14">
        <v>136</v>
      </c>
      <c r="J39" s="13">
        <v>504</v>
      </c>
      <c r="K39" s="13">
        <v>471</v>
      </c>
      <c r="L39" s="11">
        <v>413</v>
      </c>
    </row>
    <row r="40" spans="1:9" s="2" customFormat="1" ht="15.75" customHeight="1">
      <c r="A40" s="7" t="s">
        <v>36</v>
      </c>
      <c r="I40" s="17"/>
    </row>
    <row r="41" spans="1:12" s="2" customFormat="1" ht="11.25">
      <c r="A41" s="2" t="s">
        <v>37</v>
      </c>
      <c r="C41" s="11">
        <v>231</v>
      </c>
      <c r="D41" s="11">
        <v>223</v>
      </c>
      <c r="E41" s="12"/>
      <c r="F41" s="11">
        <v>234</v>
      </c>
      <c r="G41" s="12"/>
      <c r="H41" s="11">
        <v>180</v>
      </c>
      <c r="I41" s="12"/>
      <c r="J41" s="11">
        <v>145</v>
      </c>
      <c r="K41" s="11">
        <v>167</v>
      </c>
      <c r="L41" s="17"/>
    </row>
    <row r="42" spans="1:12" s="2" customFormat="1" ht="11.25">
      <c r="A42" s="2" t="s">
        <v>38</v>
      </c>
      <c r="C42" s="11">
        <v>345</v>
      </c>
      <c r="D42" s="11">
        <v>405</v>
      </c>
      <c r="E42" s="12"/>
      <c r="F42" s="11">
        <v>387</v>
      </c>
      <c r="G42" s="12"/>
      <c r="H42" s="11">
        <v>422</v>
      </c>
      <c r="I42" s="12"/>
      <c r="J42" s="11">
        <v>379</v>
      </c>
      <c r="K42" s="11">
        <v>241</v>
      </c>
      <c r="L42" s="17"/>
    </row>
    <row r="43" spans="1:12" s="2" customFormat="1" ht="11.25">
      <c r="A43" s="2" t="s">
        <v>39</v>
      </c>
      <c r="C43" s="18">
        <f>C41/C12</f>
        <v>0.010746685275645498</v>
      </c>
      <c r="D43" s="18">
        <f>D41/D12</f>
        <v>0.010227950282071274</v>
      </c>
      <c r="E43" s="18"/>
      <c r="F43" s="18">
        <f>F41/F12</f>
        <v>0.010983852797596696</v>
      </c>
      <c r="G43" s="18"/>
      <c r="H43" s="18">
        <f>H41/H12</f>
        <v>0.008516678495386799</v>
      </c>
      <c r="I43" s="18"/>
      <c r="J43" s="18">
        <f>J41/J12</f>
        <v>0.006623726645653465</v>
      </c>
      <c r="K43" s="18">
        <f>K41/K12</f>
        <v>0.007336144790019329</v>
      </c>
      <c r="L43" s="17"/>
    </row>
    <row r="44" spans="1:12" s="2" customFormat="1" ht="11.25">
      <c r="A44" s="2" t="s">
        <v>40</v>
      </c>
      <c r="C44" s="18">
        <f>C42/C12</f>
        <v>0.016050244242847175</v>
      </c>
      <c r="D44" s="18">
        <f>D42/D12</f>
        <v>0.01857542540017429</v>
      </c>
      <c r="E44" s="18"/>
      <c r="F44" s="18">
        <f>F42/F12</f>
        <v>0.01816560270371761</v>
      </c>
      <c r="G44" s="18"/>
      <c r="H44" s="18">
        <f>H42/H12</f>
        <v>0.01996687958362905</v>
      </c>
      <c r="I44" s="18"/>
      <c r="J44" s="18">
        <f>J42/J12</f>
        <v>0.017313051025535608</v>
      </c>
      <c r="K44" s="18">
        <f>K42/K12</f>
        <v>0.010586891583201547</v>
      </c>
      <c r="L44" s="17"/>
    </row>
    <row r="45" spans="1:12" s="2" customFormat="1" ht="11.25">
      <c r="A45" s="19" t="s">
        <v>41</v>
      </c>
      <c r="C45" s="18">
        <f>(C41+C42)/C12</f>
        <v>0.026796929518492673</v>
      </c>
      <c r="D45" s="18">
        <f>(D41+D42)/D12</f>
        <v>0.02880337568224556</v>
      </c>
      <c r="E45" s="18"/>
      <c r="F45" s="18">
        <f>(F41+F42)/F12</f>
        <v>0.029149455501314307</v>
      </c>
      <c r="G45" s="18"/>
      <c r="H45" s="18">
        <f>(H41+H42)/H12</f>
        <v>0.028483558079015852</v>
      </c>
      <c r="I45" s="18"/>
      <c r="J45" s="18">
        <f>(J41+J42)/J12</f>
        <v>0.023936777671189072</v>
      </c>
      <c r="K45" s="18">
        <f>(K41+K42)/K12</f>
        <v>0.017923036373220874</v>
      </c>
      <c r="L45" s="17"/>
    </row>
    <row r="46" spans="1:12" s="2" customFormat="1" ht="11.25">
      <c r="A46" s="2" t="s">
        <v>42</v>
      </c>
      <c r="C46" s="18">
        <f>C81/C12</f>
        <v>0.019911607350546638</v>
      </c>
      <c r="D46" s="18">
        <f>D81/D12</f>
        <v>0.01774985093794432</v>
      </c>
      <c r="E46" s="18"/>
      <c r="F46" s="18">
        <f>F81/F12</f>
        <v>0.017930904994367256</v>
      </c>
      <c r="G46" s="18"/>
      <c r="H46" s="18">
        <f>H81/H12</f>
        <v>0.018594748048261178</v>
      </c>
      <c r="I46" s="18"/>
      <c r="J46" s="18">
        <f>J81/J12</f>
        <v>0.017632817139463706</v>
      </c>
      <c r="K46" s="18">
        <f>K81/K12</f>
        <v>0.013530135301353014</v>
      </c>
      <c r="L46" s="17"/>
    </row>
    <row r="47" spans="1:12" s="2" customFormat="1" ht="11.25">
      <c r="A47" s="3" t="s">
        <v>43</v>
      </c>
      <c r="B47" s="3"/>
      <c r="C47" s="20">
        <f>(C81/(C41+C42))</f>
        <v>0.7430555555555556</v>
      </c>
      <c r="D47" s="20">
        <f>(D81/(D41+D42))</f>
        <v>0.6162420382165605</v>
      </c>
      <c r="E47" s="20"/>
      <c r="F47" s="20">
        <f>(F81/(F41+F42))</f>
        <v>0.6151368760064412</v>
      </c>
      <c r="G47" s="20"/>
      <c r="H47" s="20">
        <f>(H81/(H41+H42))</f>
        <v>0.6528239202657807</v>
      </c>
      <c r="I47" s="20"/>
      <c r="J47" s="20">
        <f>(J81/(J41+J42))</f>
        <v>0.7366412213740458</v>
      </c>
      <c r="K47" s="20">
        <f>(K81/(K41+K42))</f>
        <v>0.7549019607843137</v>
      </c>
      <c r="L47" s="17"/>
    </row>
    <row r="48" s="2" customFormat="1" ht="17.25" customHeight="1">
      <c r="A48" s="7" t="s">
        <v>44</v>
      </c>
    </row>
    <row r="49" spans="1:11" s="2" customFormat="1" ht="11.25">
      <c r="A49" s="2" t="s">
        <v>45</v>
      </c>
      <c r="C49" s="18">
        <f>C24/(C12+C15)</f>
        <v>0.13760935201672214</v>
      </c>
      <c r="D49" s="18">
        <f>D24/(D12+D15)</f>
        <v>0.13209928481278924</v>
      </c>
      <c r="E49" s="18"/>
      <c r="F49" s="18">
        <f>F24/(F12+F15)</f>
        <v>0.1288649744609506</v>
      </c>
      <c r="G49" s="18"/>
      <c r="H49" s="18">
        <f>H24/(H12+H15)</f>
        <v>0.13018291473237312</v>
      </c>
      <c r="I49" s="18"/>
      <c r="J49" s="18">
        <f>J24/(J12+J15)</f>
        <v>0.12364843991350015</v>
      </c>
      <c r="K49" s="18">
        <f>K24/(K12+K15)</f>
        <v>0.1200572622456086</v>
      </c>
    </row>
    <row r="50" spans="1:11" s="2" customFormat="1" ht="11.25">
      <c r="A50" s="3" t="s">
        <v>46</v>
      </c>
      <c r="B50" s="3"/>
      <c r="C50" s="20">
        <f>C24/C12</f>
        <v>0.16538729937194696</v>
      </c>
      <c r="D50" s="20">
        <f>D24/D12</f>
        <v>0.1584185662523506</v>
      </c>
      <c r="E50" s="21"/>
      <c r="F50" s="20">
        <f>F24/F12</f>
        <v>0.1551351858805858</v>
      </c>
      <c r="G50" s="21"/>
      <c r="H50" s="20">
        <f>H24/H12</f>
        <v>0.1552401230186894</v>
      </c>
      <c r="I50" s="21"/>
      <c r="J50" s="20">
        <f>J24/J12</f>
        <v>0.14627015668539584</v>
      </c>
      <c r="K50" s="20">
        <f>K24/K12</f>
        <v>0.13631172026005975</v>
      </c>
    </row>
    <row r="51" s="2" customFormat="1" ht="16.5" customHeight="1">
      <c r="A51" s="7" t="s">
        <v>47</v>
      </c>
    </row>
    <row r="52" spans="1:11" s="2" customFormat="1" ht="11.25">
      <c r="A52" s="2" t="s">
        <v>48</v>
      </c>
      <c r="C52" s="22">
        <f>C11/C16</f>
        <v>0.3814647176671366</v>
      </c>
      <c r="D52" s="22">
        <f>D11/D16</f>
        <v>0.3658331505447101</v>
      </c>
      <c r="E52" s="22"/>
      <c r="F52" s="22">
        <f>F11/F16</f>
        <v>0.3322459507643288</v>
      </c>
      <c r="G52" s="22"/>
      <c r="H52" s="22">
        <f>H11/H16</f>
        <v>0.35964684497533106</v>
      </c>
      <c r="I52" s="22"/>
      <c r="J52" s="22">
        <f>J11/J16</f>
        <v>0.3547106824925816</v>
      </c>
      <c r="K52" s="22">
        <f>K11/K16</f>
        <v>0.3427846590061185</v>
      </c>
    </row>
    <row r="53" spans="1:11" s="2" customFormat="1" ht="11.25">
      <c r="A53" s="2" t="s">
        <v>49</v>
      </c>
      <c r="C53" s="22">
        <f>C11/C10</f>
        <v>0.2702660077804647</v>
      </c>
      <c r="D53" s="22">
        <f>D11/D10</f>
        <v>0.26467243248961886</v>
      </c>
      <c r="E53" s="22"/>
      <c r="F53" s="22">
        <f>F11/F10</f>
        <v>0.24362361972575305</v>
      </c>
      <c r="G53" s="22"/>
      <c r="H53" s="22">
        <f>H11/H10</f>
        <v>0.26519503255101484</v>
      </c>
      <c r="I53" s="22"/>
      <c r="J53" s="22">
        <f>J11/J10</f>
        <v>0.2585642828173584</v>
      </c>
      <c r="K53" s="22">
        <f>K11/K10</f>
        <v>0.25118237239946417</v>
      </c>
    </row>
    <row r="54" spans="1:11" s="2" customFormat="1" ht="11.25">
      <c r="A54" s="3" t="s">
        <v>50</v>
      </c>
      <c r="B54" s="3"/>
      <c r="C54" s="23">
        <f>(C11+C15)/C16</f>
        <v>0.5424426801216888</v>
      </c>
      <c r="D54" s="23">
        <f>(D11+D15)/D16</f>
        <v>0.5246399064122249</v>
      </c>
      <c r="E54" s="23"/>
      <c r="F54" s="23">
        <f>(F11+F15)/F16</f>
        <v>0.4969844099685165</v>
      </c>
      <c r="G54" s="23"/>
      <c r="H54" s="23">
        <f>(H11+H15)/H16</f>
        <v>0.5105538450124272</v>
      </c>
      <c r="I54" s="23"/>
      <c r="J54" s="23">
        <f>(J11+J15)/J16</f>
        <v>0.5032640949554896</v>
      </c>
      <c r="K54" s="23">
        <f>(K11+K15)/K16</f>
        <v>0.45776749738844946</v>
      </c>
    </row>
    <row r="55" s="2" customFormat="1" ht="16.5" customHeight="1">
      <c r="A55" s="7" t="s">
        <v>51</v>
      </c>
    </row>
    <row r="56" spans="1:11" s="2" customFormat="1" ht="11.25">
      <c r="A56" s="2" t="s">
        <v>52</v>
      </c>
      <c r="C56" s="18">
        <f>C39/C27</f>
        <v>0.01844190991687609</v>
      </c>
      <c r="D56" s="18">
        <f>(D39/0.75)/D27</f>
        <v>0.01966182179869734</v>
      </c>
      <c r="E56" s="18"/>
      <c r="F56" s="18">
        <f>(F39/0.5)/F27</f>
        <v>0.022379796017484216</v>
      </c>
      <c r="G56" s="18"/>
      <c r="H56" s="18">
        <f>(H39/0.25)/H27</f>
        <v>0.023754175538668907</v>
      </c>
      <c r="I56" s="18"/>
      <c r="J56" s="18">
        <f>J39/J27</f>
        <v>0.019481272467241312</v>
      </c>
      <c r="K56" s="18">
        <f>K39/K27</f>
        <v>0.018765687876010996</v>
      </c>
    </row>
    <row r="57" spans="1:11" s="2" customFormat="1" ht="11.25">
      <c r="A57" s="2" t="s">
        <v>53</v>
      </c>
      <c r="C57" s="18">
        <f>C39/C26</f>
        <v>0.012715083501046262</v>
      </c>
      <c r="D57" s="18">
        <f>(D39/0.75)/D26</f>
        <v>0.013845583782953303</v>
      </c>
      <c r="E57" s="18"/>
      <c r="F57" s="18">
        <f>(F39/0.5)/F26</f>
        <v>0.01587629718443792</v>
      </c>
      <c r="G57" s="18"/>
      <c r="H57" s="18">
        <f>(H39/0.25)/H26</f>
        <v>0.016569240621891565</v>
      </c>
      <c r="I57" s="18"/>
      <c r="J57" s="18">
        <f>J39/J26</f>
        <v>0.013702354412484368</v>
      </c>
      <c r="K57" s="18">
        <f>K39/K26</f>
        <v>0.012942404924159157</v>
      </c>
    </row>
    <row r="58" spans="1:11" s="2" customFormat="1" ht="11.25">
      <c r="A58" s="2" t="s">
        <v>54</v>
      </c>
      <c r="C58" s="18">
        <f>C39/C30</f>
        <v>0.14118691727097823</v>
      </c>
      <c r="D58" s="18">
        <f>(D39/0.75)/D30</f>
        <v>0.15335335335335337</v>
      </c>
      <c r="E58" s="18"/>
      <c r="F58" s="18">
        <f>(F39/0.5)/F30</f>
        <v>0.17835578262888993</v>
      </c>
      <c r="G58" s="18"/>
      <c r="H58" s="18">
        <f>(H39/0.25)/H30</f>
        <v>0.1902080400437979</v>
      </c>
      <c r="I58" s="18"/>
      <c r="J58" s="18">
        <f>J39/J30</f>
        <v>0.1598731165741475</v>
      </c>
      <c r="K58" s="18">
        <f>K39/K30</f>
        <v>0.15896051299358757</v>
      </c>
    </row>
    <row r="59" spans="1:11" s="2" customFormat="1" ht="11.25">
      <c r="A59" s="2" t="s">
        <v>55</v>
      </c>
      <c r="C59" s="18">
        <f>C32/C26</f>
        <v>0.07661037732076931</v>
      </c>
      <c r="D59" s="18">
        <f>(D32/0.75)/D26</f>
        <v>0.0765664398232248</v>
      </c>
      <c r="E59" s="18"/>
      <c r="F59" s="18">
        <f>(F32/0.5)/F26</f>
        <v>0.07618417607254586</v>
      </c>
      <c r="G59" s="18"/>
      <c r="H59" s="18">
        <f>(H32/0.25)/H26</f>
        <v>0.07576067258035946</v>
      </c>
      <c r="I59" s="18"/>
      <c r="J59" s="18">
        <f>J32/J26</f>
        <v>0.07125768038714589</v>
      </c>
      <c r="K59" s="18">
        <f>K32/K26</f>
        <v>0.07097713783249066</v>
      </c>
    </row>
    <row r="60" spans="1:11" s="2" customFormat="1" ht="11.25">
      <c r="A60" s="2" t="s">
        <v>56</v>
      </c>
      <c r="C60" s="18">
        <f>C33/C26</f>
        <v>0.05363259539644671</v>
      </c>
      <c r="D60" s="18">
        <f>(D33/0.75)/D26</f>
        <v>0.05317716382434545</v>
      </c>
      <c r="E60" s="18"/>
      <c r="F60" s="18">
        <f>(F33/0.5)/F26</f>
        <v>0.052479982359669795</v>
      </c>
      <c r="G60" s="18"/>
      <c r="H60" s="18">
        <f>(H33/0.25)/H26</f>
        <v>0.05188788510539727</v>
      </c>
      <c r="I60" s="18"/>
      <c r="J60" s="18">
        <f>J33/J26</f>
        <v>0.04896416725572291</v>
      </c>
      <c r="K60" s="18">
        <f>K33/K26</f>
        <v>0.047290613321609144</v>
      </c>
    </row>
    <row r="61" spans="1:11" s="2" customFormat="1" ht="11.25">
      <c r="A61" s="2" t="s">
        <v>57</v>
      </c>
      <c r="C61" s="18">
        <f>C34/C26</f>
        <v>0.022977781924322597</v>
      </c>
      <c r="D61" s="18">
        <f>(D34/0.75)/D26</f>
        <v>0.023389275998879338</v>
      </c>
      <c r="E61" s="18"/>
      <c r="F61" s="18">
        <f>(F34/0.5)/F26</f>
        <v>0.023704193712876062</v>
      </c>
      <c r="G61" s="18"/>
      <c r="H61" s="18">
        <f>(H34/0.25)/H26</f>
        <v>0.023872787474962187</v>
      </c>
      <c r="I61" s="18"/>
      <c r="J61" s="18">
        <f>J34/J26</f>
        <v>0.022293513131422978</v>
      </c>
      <c r="K61" s="18">
        <f>K34/K26</f>
        <v>0.02368652451088151</v>
      </c>
    </row>
    <row r="62" spans="1:11" s="2" customFormat="1" ht="11.25">
      <c r="A62" s="2" t="s">
        <v>58</v>
      </c>
      <c r="C62" s="18">
        <f>C37/C36</f>
        <v>0.4565891472868217</v>
      </c>
      <c r="D62" s="18">
        <f>(D37/0.75)/(D36/0.75)</f>
        <v>0.45617740232312565</v>
      </c>
      <c r="E62" s="18">
        <f>(E37/0.75)/(E36/0.75)</f>
        <v>0.46049661399548536</v>
      </c>
      <c r="F62" s="18">
        <f>(F37/0.5)/(F36/0.5)</f>
        <v>0.43174603174603177</v>
      </c>
      <c r="G62" s="18">
        <f>(G37/0.75)/(G36/0.75)</f>
        <v>0.4587628865979381</v>
      </c>
      <c r="H62" s="18">
        <f>(H37/0.25)/(H36/0.25)</f>
        <v>0.445859872611465</v>
      </c>
      <c r="I62" s="18">
        <f>(I37/0.75)/(I36/0.75)</f>
        <v>0.4583333333333333</v>
      </c>
      <c r="J62" s="18">
        <f>J37/J36</f>
        <v>0.48218724109362054</v>
      </c>
      <c r="K62" s="18">
        <f>K37/K36</f>
        <v>0.457089552238806</v>
      </c>
    </row>
    <row r="63" spans="1:11" s="2" customFormat="1" ht="11.25">
      <c r="A63" s="3" t="s">
        <v>59</v>
      </c>
      <c r="B63" s="3"/>
      <c r="C63" s="20">
        <f>C35/C26</f>
        <v>0.011408921883538365</v>
      </c>
      <c r="D63" s="20">
        <f>(D35/0.75)/D26</f>
        <v>0.010845104790825042</v>
      </c>
      <c r="E63" s="20"/>
      <c r="F63" s="20">
        <f>(F35/0.5)/F26</f>
        <v>0.01102520637808189</v>
      </c>
      <c r="G63" s="20"/>
      <c r="H63" s="20">
        <f>(H35/0.25)/H26</f>
        <v>0.010355775388682228</v>
      </c>
      <c r="I63" s="24"/>
      <c r="J63" s="20">
        <f>J35/J26</f>
        <v>0.010521450709586211</v>
      </c>
      <c r="K63" s="20">
        <f>K35/K26</f>
        <v>0.005770499010771598</v>
      </c>
    </row>
    <row r="64" s="2" customFormat="1" ht="16.5" customHeight="1">
      <c r="A64" s="7" t="s">
        <v>60</v>
      </c>
    </row>
    <row r="65" spans="1:11" s="2" customFormat="1" ht="11.25">
      <c r="A65" s="2" t="s">
        <v>61</v>
      </c>
      <c r="C65" s="11">
        <v>12606</v>
      </c>
      <c r="D65" s="11">
        <v>12775</v>
      </c>
      <c r="E65" s="11"/>
      <c r="F65" s="11">
        <v>12645</v>
      </c>
      <c r="G65" s="11"/>
      <c r="H65" s="11">
        <v>12649</v>
      </c>
      <c r="I65" s="11"/>
      <c r="J65" s="11">
        <v>12781</v>
      </c>
      <c r="K65" s="11">
        <v>11610</v>
      </c>
    </row>
    <row r="66" spans="1:11" s="2" customFormat="1" ht="11.25">
      <c r="A66" s="2" t="s">
        <v>62</v>
      </c>
      <c r="C66" s="11">
        <v>83</v>
      </c>
      <c r="D66" s="11">
        <v>85</v>
      </c>
      <c r="E66" s="11"/>
      <c r="F66" s="11">
        <v>86</v>
      </c>
      <c r="G66" s="11"/>
      <c r="H66" s="11">
        <v>87</v>
      </c>
      <c r="I66" s="11"/>
      <c r="J66" s="11">
        <v>86</v>
      </c>
      <c r="K66" s="11">
        <v>98</v>
      </c>
    </row>
    <row r="67" spans="1:11" s="2" customFormat="1" ht="11.25">
      <c r="A67" s="2" t="s">
        <v>63</v>
      </c>
      <c r="C67" s="16">
        <f>(C12/C65)</f>
        <v>1.705140409328891</v>
      </c>
      <c r="D67" s="16">
        <f>D12/D65</f>
        <v>1.706692759295499</v>
      </c>
      <c r="E67" s="16"/>
      <c r="F67" s="16">
        <f>F12/F65</f>
        <v>1.6847765915381574</v>
      </c>
      <c r="G67" s="16"/>
      <c r="H67" s="16">
        <f>H12/H65</f>
        <v>1.6708830737607716</v>
      </c>
      <c r="I67" s="16"/>
      <c r="J67" s="16">
        <f>J12/J65</f>
        <v>1.7127767780298881</v>
      </c>
      <c r="K67" s="16">
        <f>K12/K65</f>
        <v>1.9607235142118864</v>
      </c>
    </row>
    <row r="68" spans="1:11" s="2" customFormat="1" ht="11.25">
      <c r="A68" s="2" t="s">
        <v>64</v>
      </c>
      <c r="C68" s="16">
        <f>C16/C65</f>
        <v>2.138188164366175</v>
      </c>
      <c r="D68" s="16">
        <f>D16/D65</f>
        <v>2.1412133072407045</v>
      </c>
      <c r="E68" s="16"/>
      <c r="F68" s="16">
        <f>F16/F65</f>
        <v>2.0848556741795177</v>
      </c>
      <c r="G68" s="16"/>
      <c r="H68" s="16">
        <f>H16/H65</f>
        <v>2.131156613171002</v>
      </c>
      <c r="I68" s="16"/>
      <c r="J68" s="16">
        <f>J16/J65</f>
        <v>2.1093811125889994</v>
      </c>
      <c r="K68" s="16">
        <f>K16/K65</f>
        <v>2.30869939707149</v>
      </c>
    </row>
    <row r="69" spans="1:11" s="2" customFormat="1" ht="11.25">
      <c r="A69" s="3" t="s">
        <v>65</v>
      </c>
      <c r="B69" s="3"/>
      <c r="C69" s="25">
        <f>C39/C65</f>
        <v>0.03783912422655878</v>
      </c>
      <c r="D69" s="26">
        <f>D39/D65</f>
        <v>0.029980430528375734</v>
      </c>
      <c r="E69" s="26"/>
      <c r="F69" s="26">
        <f>F39/F65</f>
        <v>0.022775800711743774</v>
      </c>
      <c r="G69" s="26"/>
      <c r="H69" s="26">
        <f>H39/H65</f>
        <v>0.012016760218199068</v>
      </c>
      <c r="I69" s="26"/>
      <c r="J69" s="26">
        <f>J39/J65</f>
        <v>0.039433534152257255</v>
      </c>
      <c r="K69" s="26">
        <f>K39/K65</f>
        <v>0.040568475452196384</v>
      </c>
    </row>
    <row r="70" s="2" customFormat="1" ht="15" customHeight="1">
      <c r="A70" s="7" t="s">
        <v>66</v>
      </c>
    </row>
    <row r="71" spans="1:11" s="2" customFormat="1" ht="11.25">
      <c r="A71" s="2" t="s">
        <v>67</v>
      </c>
      <c r="C71" s="18">
        <f>(C10-J10)/J10</f>
        <v>0.028633229687711235</v>
      </c>
      <c r="D71" s="27">
        <f>+(D10/E10)-1</f>
        <v>0.05150596545874242</v>
      </c>
      <c r="E71" s="27"/>
      <c r="F71" s="27">
        <f>+(F10/G10)-1</f>
        <v>-0.017892263986013957</v>
      </c>
      <c r="G71" s="27"/>
      <c r="H71" s="27">
        <f>+(H10/I10)-1</f>
        <v>-0.007412234259183803</v>
      </c>
      <c r="I71" s="27"/>
      <c r="J71" s="18">
        <f>(J10-K10)/K10</f>
        <v>0.011099264605374668</v>
      </c>
      <c r="K71" s="27">
        <f>+(K10/L10)-1</f>
        <v>0.010330064908161907</v>
      </c>
    </row>
    <row r="72" spans="1:11" s="2" customFormat="1" ht="11.25">
      <c r="A72" s="2" t="s">
        <v>68</v>
      </c>
      <c r="C72" s="18">
        <f>(C12-J12)/J12</f>
        <v>-0.018089625873646705</v>
      </c>
      <c r="D72" s="27">
        <f>D12/E12-1</f>
        <v>-0.004883614787768109</v>
      </c>
      <c r="E72" s="27"/>
      <c r="F72" s="27">
        <f>F12/G12-1</f>
        <v>-0.04243078029485792</v>
      </c>
      <c r="G72" s="27"/>
      <c r="H72" s="27">
        <f>H12/I12-1</f>
        <v>-0.0729449951750154</v>
      </c>
      <c r="I72" s="27"/>
      <c r="J72" s="18">
        <f>(J12-K12)/K12</f>
        <v>-0.03835002635740643</v>
      </c>
      <c r="K72" s="27">
        <f>K12/L12-1</f>
        <v>0.07595594838587694</v>
      </c>
    </row>
    <row r="73" spans="2:11" s="2" customFormat="1" ht="11.25">
      <c r="B73" s="2" t="s">
        <v>17</v>
      </c>
      <c r="C73" s="18">
        <f>(C13/J13)-1</f>
        <v>0.041941011996031285</v>
      </c>
      <c r="D73" s="27">
        <f>D13/E13-1</f>
        <v>0.08894829016499206</v>
      </c>
      <c r="E73" s="27"/>
      <c r="F73" s="27">
        <f>(F13/G13)-1</f>
        <v>0.09425331173163065</v>
      </c>
      <c r="G73" s="27"/>
      <c r="H73" s="27">
        <f>(H13/I13)-1</f>
        <v>0.0966221523959152</v>
      </c>
      <c r="I73" s="27"/>
      <c r="J73" s="18">
        <f>(J13/K13)-1</f>
        <v>0.12810337810337802</v>
      </c>
      <c r="K73" s="27">
        <f>+(K13/L13)-1</f>
        <v>0.18481012658227858</v>
      </c>
    </row>
    <row r="74" spans="2:11" s="2" customFormat="1" ht="11.25">
      <c r="B74" s="2" t="s">
        <v>18</v>
      </c>
      <c r="C74" s="18">
        <f>(C14/J14)-1</f>
        <v>-0.07969270640503512</v>
      </c>
      <c r="D74" s="27">
        <f>+(D14/E14)-1</f>
        <v>-0.09691709610342647</v>
      </c>
      <c r="E74" s="27"/>
      <c r="F74" s="27">
        <f>+(F14/G14)-1</f>
        <v>-0.1644406635474266</v>
      </c>
      <c r="G74" s="27"/>
      <c r="H74" s="27">
        <f>+(H14/I14)-1</f>
        <v>-0.20984620263199616</v>
      </c>
      <c r="I74" s="27"/>
      <c r="J74" s="18">
        <f>(J14/K14)-1</f>
        <v>-0.16481137909709342</v>
      </c>
      <c r="K74" s="27">
        <f>+(K14/L14)-1</f>
        <v>0.005753382055667888</v>
      </c>
    </row>
    <row r="75" spans="1:11" s="2" customFormat="1" ht="11.25">
      <c r="A75" s="2" t="s">
        <v>69</v>
      </c>
      <c r="C75" s="18">
        <f>(C16-J16)/J16</f>
        <v>-0.00022255192878338278</v>
      </c>
      <c r="D75" s="27">
        <f>D16/E16-1</f>
        <v>0.04193806422123192</v>
      </c>
      <c r="E75" s="28"/>
      <c r="F75" s="27">
        <f>F16/G16-1</f>
        <v>-0.014246186060424715</v>
      </c>
      <c r="G75" s="27"/>
      <c r="H75" s="27">
        <f>H16/I16-1</f>
        <v>-0.001074631290298722</v>
      </c>
      <c r="I75" s="27"/>
      <c r="J75" s="18">
        <f>(J16-K16)/K16</f>
        <v>0.005820026861662438</v>
      </c>
      <c r="K75" s="27">
        <f>K16/L16-1</f>
        <v>-0.028277262180974483</v>
      </c>
    </row>
    <row r="76" spans="2:11" s="2" customFormat="1" ht="11.25">
      <c r="B76" s="2" t="s">
        <v>17</v>
      </c>
      <c r="C76" s="18">
        <f>(C17-J17)/J17</f>
        <v>0.08483853311439518</v>
      </c>
      <c r="D76" s="27">
        <f>(D17/E17)-1</f>
        <v>0.06204906204906213</v>
      </c>
      <c r="E76" s="27"/>
      <c r="F76" s="27">
        <f>(F17/G17)-1</f>
        <v>-0.001398818775256494</v>
      </c>
      <c r="G76" s="27"/>
      <c r="H76" s="27">
        <f>(H17/I17)-1</f>
        <v>0.037322078781860224</v>
      </c>
      <c r="I76" s="27"/>
      <c r="J76" s="18">
        <f>(J17-K17)/K17</f>
        <v>0.05650557620817844</v>
      </c>
      <c r="K76" s="27">
        <f>(K17/L17)-1</f>
        <v>0.10135565462651264</v>
      </c>
    </row>
    <row r="77" spans="2:11" s="2" customFormat="1" ht="11.25">
      <c r="B77" s="2" t="s">
        <v>18</v>
      </c>
      <c r="C77" s="18">
        <f>(C21-J21)/J21</f>
        <v>-0.07698821536941641</v>
      </c>
      <c r="D77" s="27">
        <f>(D21/E21)-1</f>
        <v>0.02373176573045943</v>
      </c>
      <c r="E77" s="27"/>
      <c r="F77" s="27">
        <f>(F21/G21)-1</f>
        <v>-0.02616027673681176</v>
      </c>
      <c r="G77" s="27"/>
      <c r="H77" s="27">
        <f>(H21/I21)-1</f>
        <v>-0.03221044155146957</v>
      </c>
      <c r="I77" s="27"/>
      <c r="J77" s="18">
        <f>(J21-K21)/K21</f>
        <v>-0.035920810939519696</v>
      </c>
      <c r="K77" s="27">
        <f>(K21/L21)-1</f>
        <v>-0.1141445187729766</v>
      </c>
    </row>
    <row r="78" spans="1:11" s="2" customFormat="1" ht="11.25">
      <c r="A78" s="2" t="s">
        <v>70</v>
      </c>
      <c r="C78" s="18">
        <f>(C24/J24)-1</f>
        <v>0.11024359775140535</v>
      </c>
      <c r="D78" s="27">
        <f>(D24/E24)-1</f>
        <v>0.07735495945102921</v>
      </c>
      <c r="E78" s="27"/>
      <c r="F78" s="27">
        <f>(F24/G24)-1</f>
        <v>0.047875713379835094</v>
      </c>
      <c r="G78" s="27"/>
      <c r="H78" s="27">
        <f>(H24/I24)-1</f>
        <v>0.05430591259640094</v>
      </c>
      <c r="I78" s="27"/>
      <c r="J78" s="18">
        <f>(J24-K24)/K24</f>
        <v>0.03190460844344183</v>
      </c>
      <c r="K78" s="27">
        <f>(K24/L24)-1</f>
        <v>0.09918526390364857</v>
      </c>
    </row>
    <row r="79" spans="1:11" s="2" customFormat="1" ht="11.25">
      <c r="A79" s="3" t="s">
        <v>71</v>
      </c>
      <c r="B79" s="3"/>
      <c r="C79" s="20">
        <f>(C39-J39)/J39</f>
        <v>-0.05357142857142857</v>
      </c>
      <c r="D79" s="29">
        <f>D39/E39-1</f>
        <v>-0.035264483627204024</v>
      </c>
      <c r="E79" s="30"/>
      <c r="F79" s="29">
        <f>F39/G39-1</f>
        <v>0.0992366412213741</v>
      </c>
      <c r="G79" s="29"/>
      <c r="H79" s="29">
        <f>H39/I39-1</f>
        <v>0.11764705882352944</v>
      </c>
      <c r="I79" s="29"/>
      <c r="J79" s="20">
        <f>(J39-K39)/K39</f>
        <v>0.07006369426751592</v>
      </c>
      <c r="K79" s="29">
        <f>(K39/L39)-1</f>
        <v>0.1404358353510895</v>
      </c>
    </row>
    <row r="80" s="2" customFormat="1" ht="11.25"/>
    <row r="81" spans="2:11" s="17" customFormat="1" ht="0.75" customHeight="1">
      <c r="B81" s="17" t="s">
        <v>72</v>
      </c>
      <c r="C81" s="17">
        <v>428</v>
      </c>
      <c r="D81" s="17">
        <v>387</v>
      </c>
      <c r="F81" s="17">
        <v>382</v>
      </c>
      <c r="H81" s="17">
        <v>393</v>
      </c>
      <c r="J81" s="17">
        <v>386</v>
      </c>
      <c r="K81" s="17">
        <v>308</v>
      </c>
    </row>
    <row r="82" s="2" customFormat="1" ht="11.25"/>
    <row r="83" s="2" customFormat="1" ht="11.25"/>
    <row r="84" s="2" customFormat="1" ht="11.25"/>
    <row r="85" s="2" customFormat="1" ht="11.25"/>
    <row r="86" s="2" customFormat="1" ht="11.25"/>
    <row r="87" s="2" customFormat="1" ht="11.25">
      <c r="B87" s="16"/>
    </row>
    <row r="88" s="2" customFormat="1" ht="11.25"/>
    <row r="89" s="2" customFormat="1" ht="11.25"/>
    <row r="90" s="2" customFormat="1" ht="11.25"/>
    <row r="91" s="2" customFormat="1" ht="11.25"/>
    <row r="92" s="2" customFormat="1" ht="11.25"/>
    <row r="93" s="2" customFormat="1" ht="11.25"/>
    <row r="94" s="2" customFormat="1" ht="11.25"/>
    <row r="95" s="2" customFormat="1" ht="11.25"/>
    <row r="96" s="2" customFormat="1" ht="11.25"/>
    <row r="97" s="2" customFormat="1" ht="11.25"/>
    <row r="98" s="2" customFormat="1" ht="11.25"/>
    <row r="99" s="2" customFormat="1" ht="11.25"/>
    <row r="100" s="2" customFormat="1" ht="11.25"/>
    <row r="101" s="2" customFormat="1" ht="11.25"/>
    <row r="102" s="2" customFormat="1" ht="11.25"/>
    <row r="103" s="2" customFormat="1" ht="11.25"/>
    <row r="104" s="2" customFormat="1" ht="11.25"/>
    <row r="105" s="2" customFormat="1" ht="11.25"/>
    <row r="106" s="2" customFormat="1" ht="11.25"/>
    <row r="107" s="2" customFormat="1" ht="11.25"/>
    <row r="108" s="2" customFormat="1" ht="11.25"/>
    <row r="109" s="2" customFormat="1" ht="11.25"/>
    <row r="110" s="2" customFormat="1" ht="11.25"/>
    <row r="111" s="2" customFormat="1" ht="11.25"/>
    <row r="112" s="2" customFormat="1" ht="11.25"/>
    <row r="113" s="2" customFormat="1" ht="11.25"/>
    <row r="114" s="2" customFormat="1" ht="11.25"/>
    <row r="115" s="2" customFormat="1" ht="11.25"/>
    <row r="116" s="2" customFormat="1" ht="11.25"/>
    <row r="117" s="2" customFormat="1" ht="11.25"/>
    <row r="118" s="2" customFormat="1" ht="11.25"/>
    <row r="119" s="2" customFormat="1" ht="11.25"/>
    <row r="120" s="2" customFormat="1" ht="11.25"/>
    <row r="121" s="2" customFormat="1" ht="11.25"/>
    <row r="122" s="2" customFormat="1" ht="11.25"/>
    <row r="123" s="2" customFormat="1" ht="11.25"/>
    <row r="124" s="2" customFormat="1" ht="11.25"/>
    <row r="125" s="2" customFormat="1" ht="11.25"/>
    <row r="126" s="2" customFormat="1" ht="11.25"/>
    <row r="127" s="2" customFormat="1" ht="11.25"/>
    <row r="128" s="2" customFormat="1" ht="11.25"/>
    <row r="129" s="2" customFormat="1" ht="11.25"/>
    <row r="130" s="2" customFormat="1" ht="11.25"/>
    <row r="131" s="2" customFormat="1" ht="11.25"/>
    <row r="132" s="2" customFormat="1" ht="11.25"/>
    <row r="133" s="2" customFormat="1" ht="11.25"/>
    <row r="134" s="2" customFormat="1" ht="11.25"/>
    <row r="135" s="2" customFormat="1" ht="11.25"/>
    <row r="136" s="2" customFormat="1" ht="11.25"/>
    <row r="137" s="2" customFormat="1" ht="11.25"/>
    <row r="138" s="2" customFormat="1" ht="11.25"/>
    <row r="139" s="2" customFormat="1" ht="11.25"/>
    <row r="140" s="2" customFormat="1" ht="11.25"/>
    <row r="141" s="2" customFormat="1" ht="11.25"/>
    <row r="142" s="2" customFormat="1" ht="11.25"/>
    <row r="143" s="2" customFormat="1" ht="11.25"/>
    <row r="144" s="2" customFormat="1" ht="11.25"/>
    <row r="145" s="2" customFormat="1" ht="11.25"/>
    <row r="146" s="2" customFormat="1" ht="11.25"/>
    <row r="147" s="2" customFormat="1" ht="11.25"/>
    <row r="148" s="2" customFormat="1" ht="11.25"/>
    <row r="149" s="2" customFormat="1" ht="11.25"/>
    <row r="150" s="2" customFormat="1" ht="11.25"/>
    <row r="151" s="2" customFormat="1" ht="11.25"/>
    <row r="152" s="2" customFormat="1" ht="11.25"/>
    <row r="153" s="2" customFormat="1" ht="11.25"/>
    <row r="154" s="2" customFormat="1" ht="11.25"/>
    <row r="155" s="2" customFormat="1" ht="11.25"/>
    <row r="156" s="2" customFormat="1" ht="11.25"/>
    <row r="157" s="2" customFormat="1" ht="11.25"/>
    <row r="158" s="2" customFormat="1" ht="11.25"/>
    <row r="159" s="2" customFormat="1" ht="11.25"/>
    <row r="160" s="2" customFormat="1" ht="11.25"/>
    <row r="161" s="2" customFormat="1" ht="11.25"/>
    <row r="162" s="2" customFormat="1" ht="11.25"/>
    <row r="163" s="2" customFormat="1" ht="11.25"/>
    <row r="164" s="2" customFormat="1" ht="11.25"/>
    <row r="165" s="2" customFormat="1" ht="11.25"/>
    <row r="166" s="2" customFormat="1" ht="11.25"/>
    <row r="167" s="2" customFormat="1" ht="11.25"/>
    <row r="168" s="2" customFormat="1" ht="11.25"/>
    <row r="169" s="2" customFormat="1" ht="11.25"/>
    <row r="170" s="2" customFormat="1" ht="11.25"/>
    <row r="171" s="2" customFormat="1" ht="11.25"/>
    <row r="172" s="2" customFormat="1" ht="11.25"/>
    <row r="173" s="2" customFormat="1" ht="11.25"/>
    <row r="174" s="2" customFormat="1" ht="11.25"/>
    <row r="175" s="2" customFormat="1" ht="11.25"/>
    <row r="176" s="2" customFormat="1" ht="11.25"/>
    <row r="177" s="2" customFormat="1" ht="11.25"/>
    <row r="178" s="2" customFormat="1" ht="11.25"/>
    <row r="179" s="2" customFormat="1" ht="11.25"/>
    <row r="180" s="2" customFormat="1" ht="11.25"/>
    <row r="181" s="2" customFormat="1" ht="11.25"/>
    <row r="182" s="2" customFormat="1" ht="11.25"/>
    <row r="183" s="2" customFormat="1" ht="11.25"/>
    <row r="184" s="2" customFormat="1" ht="11.25"/>
    <row r="185" s="2" customFormat="1" ht="11.25"/>
    <row r="186" s="2" customFormat="1" ht="11.25"/>
    <row r="187" s="2" customFormat="1" ht="11.25"/>
    <row r="188" s="2" customFormat="1" ht="11.25"/>
  </sheetData>
  <sheetProtection password="CD66" sheet="1" objects="1" scenarios="1"/>
  <printOptions horizontalCentered="1"/>
  <pageMargins left="0.75" right="0.75" top="0.5905511811023623" bottom="0.1968503937007874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2002-04-23T20:06:46Z</cp:lastPrinted>
  <dcterms:created xsi:type="dcterms:W3CDTF">2002-03-08T14:43:11Z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